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lO5Iz7pYq4+KErsmWnEdSTYJYgtHZv15jkydC9SSZn892gDd7iSKretga/BSrnoLwSas675Q5IIuUwaSyzTMJg==" workbookSaltValue="12sOQkt8pxN5RRLfXiD4G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AN21" i="20"/>
  <c r="AA21" i="20"/>
  <c r="X21" i="27"/>
  <c r="AK21" i="27"/>
  <c r="AB21" i="20"/>
  <c r="AH21" i="27"/>
  <c r="I21" i="27"/>
  <c r="AO21" i="20"/>
  <c r="H21" i="27"/>
  <c r="G19" i="14"/>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K21" i="27"/>
  <c r="T21" i="27"/>
  <c r="T21" i="21"/>
  <c r="BJ21" i="26"/>
  <c r="AC21" i="20"/>
  <c r="B19"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N21" i="26"/>
  <c r="BM21" i="26"/>
  <c r="BB21" i="26"/>
  <c r="T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AW21" i="26"/>
  <c r="AR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AX21" i="21"/>
  <c r="BP21" i="16"/>
  <c r="H19" i="2" l="1"/>
  <c r="G20" i="7"/>
  <c r="K12" i="12"/>
  <c r="BF13" i="8"/>
  <c r="BE13" i="8"/>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7"/>
  <c r="R21" i="16"/>
  <c r="O21" i="21"/>
  <c r="BB21" i="16"/>
  <c r="AH21" i="17"/>
  <c r="BC21" i="21"/>
  <c r="K21" i="16"/>
  <c r="BJ21" i="16"/>
  <c r="AB21" i="11"/>
  <c r="AD21" i="21"/>
  <c r="K21" i="21"/>
  <c r="AC21" i="11"/>
  <c r="AL21" i="11"/>
  <c r="AU21" i="16"/>
  <c r="Y21" i="17"/>
  <c r="AR21" i="16"/>
  <c r="AA21" i="16"/>
  <c r="AT21" i="20"/>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AW21" i="16"/>
  <c r="BA21" i="16"/>
  <c r="BG21" i="16"/>
  <c r="BO21" i="16"/>
  <c r="AN21" i="11"/>
  <c r="Z21" i="21"/>
  <c r="Y21" i="21"/>
  <c r="V21" i="11"/>
  <c r="I21" i="17"/>
  <c r="AJ21" i="11"/>
  <c r="P21" i="21"/>
  <c r="P21" i="17"/>
  <c r="AC21" i="21"/>
  <c r="Z21" i="16"/>
  <c r="AS21" i="16"/>
  <c r="AG21" i="21"/>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<sst xmlns="http://schemas.openxmlformats.org/spreadsheetml/2006/main" count="2527" uniqueCount="1027">
  <si>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</si>
  <si>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</si>
  <si>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</si>
  <si>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</si>
  <si>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</si>
  <si>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</si>
  <si>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</si>
  <si>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</si>
  <si>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</si>
  <si>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</si>
  <si>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</si>
  <si>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</si>
  <si>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</si>
  <si>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</si>
  <si>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</si>
  <si>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</si>
  <si>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</si>
  <si>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</si>
  <si>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</si>
  <si>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</si>
  <si>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</si>
  <si>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</si>
  <si>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</si>
  <si>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</si>
  <si>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</si>
  <si>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</si>
  <si>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</si>
  <si>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</si>
  <si>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</si>
  <si>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</si>
  <si>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</si>
  <si>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</si>
  <si>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</si>
  <si>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</si>
  <si>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</si>
  <si>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</si>
  <si>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</si>
  <si>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</si>
  <si>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</si>
  <si>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</si>
  <si>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</si>
  <si>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</si>
  <si>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</si>
  <si>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</si>
  <si>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</si>
  <si>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</si>
  <si>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</si>
  <si>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</si>
  <si>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</si>
  <si>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</si>
  <si>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</si>
  <si>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</si>
  <si>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</si>
  <si>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</si>
  <si>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</si>
  <si>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</si>
  <si>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</si>
  <si>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</si>
  <si>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</si>
  <si>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</si>
  <si>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</si>
  <si>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</si>
  <si>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</si>
  <si>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</si>
  <si>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</si>
  <si>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</si>
  <si>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</si>
  <si>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</si>
  <si>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</si>
  <si>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</si>
  <si>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</si>
  <si>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</si>
  <si>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</si>
  <si>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</si>
  <si>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</si>
  <si>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</si>
  <si>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</si>
  <si>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</si>
  <si>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</si>
  <si>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</si>
  <si>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</si>
  <si>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</si>
  <si>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</si>
  <si>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</si>
  <si>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</si>
  <si>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</si>
  <si>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</si>
  <si>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</si>
  <si>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</si>
  <si>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</si>
  <si>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</si>
  <si>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</si>
  <si>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</si>
  <si>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</si>
  <si>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</si>
  <si>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</si>
  <si>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</si>
  <si>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</si>
  <si>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</si>
  <si>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</si>
  <si>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</si>
  <si>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</si>
  <si>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</si>
  <si>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</si>
  <si>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</si>
  <si>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</si>
  <si>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</si>
  <si>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</si>
  <si>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</si>
  <si>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</si>
  <si>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</si>
  <si>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</si>
  <si>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</si>
  <si>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</si>
  <si>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</si>
  <si>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</si>
  <si>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</si>
  <si>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</si>
  <si>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</si>
  <si>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</si>
  <si>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</si>
  <si>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</si>
  <si>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</si>
  <si>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</si>
  <si>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</si>
  <si>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</si>
  <si>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</si>
  <si>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</si>
  <si>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</si>
  <si>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</si>
  <si>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</si>
  <si>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</si>
  <si>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</si>
  <si>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</si>
  <si>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</si>
  <si>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</si>
  <si>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</si>
  <si>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</si>
  <si>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</si>
  <si>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</si>
  <si>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</si>
  <si>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</si>
  <si>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</si>
  <si>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</si>
  <si>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</si>
  <si>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</si>
  <si>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</si>
  <si>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</si>
  <si>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</si>
  <si>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</si>
  <si>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</si>
  <si>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</si>
  <si>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</si>
  <si>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</si>
  <si>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</si>
  <si>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</si>
  <si>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</si>
  <si>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</si>
  <si>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</si>
  <si>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</si>
  <si>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</si>
  <si>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</si>
  <si>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</si>
  <si>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</si>
  <si>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</si>
  <si>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</si>
  <si>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</si>
  <si>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</si>
  <si>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</si>
  <si>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</si>
  <si>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</si>
  <si>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</si>
  <si>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</si>
  <si>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</si>
  <si>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</si>
  <si>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</si>
  <si>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</si>
  <si>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</si>
  <si>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</si>
  <si>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</si>
  <si>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</si>
  <si>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</si>
  <si>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</si>
  <si>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</si>
  <si>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</si>
  <si>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</si>
  <si>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</si>
  <si>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</si>
  <si>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</si>
  <si>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</si>
  <si>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</si>
  <si>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</si>
  <si>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</si>
  <si>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</si>
  <si>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</si>
  <si>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</si>
  <si>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</si>
  <si>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</si>
  <si>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</si>
  <si>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</si>
  <si>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</si>
  <si>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</si>
  <si>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</si>
  <si>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</si>
  <si>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</si>
  <si>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</si>
  <si>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</si>
  <si>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</si>
  <si>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</si>
  <si>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</si>
  <si>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</si>
  <si>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</si>
  <si>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</si>
  <si>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</si>
  <si>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</si>
  <si>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</si>
  <si>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</si>
  <si>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</si>
  <si>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</si>
  <si>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</si>
  <si>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</si>
  <si>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</si>
  <si>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</si>
  <si>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</si>
  <si>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</si>
  <si>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</si>
  <si>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</si>
  <si>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</si>
  <si>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</si>
  <si>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</si>
  <si>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</si>
  <si>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</si>
  <si>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</si>
  <si>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</si>
  <si>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</si>
  <si>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</si>
  <si>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</si>
  <si>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</si>
  <si>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</si>
  <si>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</si>
  <si>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</si>
  <si>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</si>
  <si>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</si>
  <si>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</si>
  <si>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</si>
  <si>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</si>
  <si>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</si>
  <si>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</si>
  <si>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</si>
  <si>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</si>
  <si>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</si>
  <si>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</si>
  <si>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</si>
  <si>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</si>
  <si>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</si>
  <si>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</si>
  <si>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</si>
  <si>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</si>
  <si>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</si>
  <si>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</si>
  <si>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</si>
  <si>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</si>
  <si>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</si>
  <si>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</si>
  <si>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</si>
  <si>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</si>
  <si>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</si>
  <si>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</si>
  <si>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</si>
  <si>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</si>
  <si>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</si>
  <si>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</si>
  <si>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</si>
  <si>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</si>
  <si>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</si>
  <si>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</si>
  <si>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</si>
  <si>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</si>
  <si>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</si>
  <si>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</si>
  <si>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</si>
  <si>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</si>
  <si>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</si>
  <si>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</si>
  <si>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</si>
  <si>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</si>
  <si>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</si>
  <si>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</si>
  <si>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</si>
  <si>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</si>
  <si>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</si>
  <si>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</si>
  <si>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</si>
  <si>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</si>
  <si>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</si>
  <si>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</si>
  <si>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</si>
  <si>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</si>
  <si>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</si>
  <si>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</si>
  <si>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</si>
  <si>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</si>
  <si>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</si>
  <si>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</si>
  <si>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</si>
  <si>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</si>
  <si>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</si>
  <si>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</si>
  <si>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</si>
  <si>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</si>
  <si>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</si>
  <si>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</si>
  <si>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</si>
  <si>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</si>
  <si>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</si>
  <si>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</si>
  <si>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</si>
  <si>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</si>
  <si>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</si>
  <si>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</si>
  <si>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</si>
  <si>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</si>
  <si>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</si>
  <si>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</si>
  <si>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</si>
  <si>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</si>
  <si>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</si>
  <si>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</si>
  <si>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</si>
  <si>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</si>
  <si>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</si>
  <si>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</si>
  <si>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</si>
  <si>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</si>
  <si>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</si>
  <si>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</si>
  <si>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</si>
  <si>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</si>
  <si>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</si>
  <si>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</si>
  <si>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</si>
  <si>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</si>
  <si>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</si>
  <si>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</si>
  <si>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</si>
  <si>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</si>
  <si>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</si>
  <si>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</si>
  <si>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</si>
  <si>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</si>
  <si>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</si>
  <si>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</si>
  <si>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</si>
  <si>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</si>
  <si>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</si>
  <si>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</si>
  <si>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</si>
  <si>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</si>
  <si>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</si>
  <si>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</si>
  <si>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</si>
  <si>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</si>
  <si>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</si>
  <si>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</si>
  <si>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</si>
  <si>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</si>
  <si>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</si>
  <si>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</si>
  <si>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</si>
  <si>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</si>
  <si>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</si>
  <si>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</si>
  <si>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</si>
  <si>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</si>
  <si>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</si>
  <si>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</si>
  <si>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</si>
  <si>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</si>
  <si>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</si>
  <si>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</si>
  <si>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</si>
  <si>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</si>
  <si>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</si>
  <si>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</si>
  <si>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</si>
  <si>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</si>
  <si>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</si>
  <si>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</si>
  <si>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</si>
  <si>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</si>
  <si>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</si>
  <si>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</si>
  <si>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</si>
  <si>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</si>
  <si>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</si>
  <si>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</si>
  <si>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</si>
  <si>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</si>
  <si>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</si>
  <si>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</si>
  <si>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</si>
  <si>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</si>
  <si>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</si>
  <si>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</si>
  <si>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</si>
  <si>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</si>
  <si>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</si>
  <si>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</si>
  <si>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</si>
  <si>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</si>
  <si>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</si>
  <si>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</si>
  <si>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</si>
  <si>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</si>
  <si>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</si>
  <si>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</si>
  <si>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</si>
  <si>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</si>
  <si>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</si>
  <si>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</si>
  <si>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</si>
  <si>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</si>
  <si>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</si>
  <si>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</si>
  <si>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</si>
  <si>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</si>
  <si>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</si>
  <si>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</si>
  <si>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</si>
  <si>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</si>
  <si>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</si>
  <si>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</si>
  <si>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</si>
  <si>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</si>
  <si>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</si>
  <si>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</si>
  <si>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</si>
  <si>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</si>
  <si>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</si>
  <si>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</si>
  <si>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</si>
  <si>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</si>
  <si>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</si>
  <si>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</si>
  <si>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</si>
  <si>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</si>
  <si>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</si>
  <si>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</si>
  <si>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</si>
  <si>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</si>
  <si>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</si>
  <si>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</si>
  <si>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</si>
  <si>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</si>
  <si>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</si>
  <si>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</si>
  <si>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</si>
  <si>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</si>
  <si>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</si>
  <si>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</si>
  <si>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</si>
  <si>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</si>
  <si>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</si>
  <si>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</si>
  <si>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</si>
  <si>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</si>
  <si>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</si>
  <si>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</si>
  <si>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</si>
  <si>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</si>
  <si>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</si>
  <si>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</si>
  <si>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</si>
  <si>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</si>
  <si>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</si>
  <si>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</si>
  <si>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</si>
  <si>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</si>
  <si>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</si>
  <si>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</si>
  <si>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</si>
  <si>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</si>
  <si>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</si>
  <si>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</si>
  <si>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</si>
  <si>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</si>
  <si>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</si>
  <si>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</si>
  <si>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</si>
  <si>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</si>
  <si>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</si>
  <si>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</si>
  <si>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</si>
  <si>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</si>
  <si>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</si>
  <si>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</si>
  <si>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</si>
  <si>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</si>
  <si>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</si>
  <si>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</si>
  <si>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</si>
  <si>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</si>
  <si>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</si>
  <si>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</si>
  <si>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</si>
  <si>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</si>
  <si>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</si>
  <si>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</si>
  <si>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</si>
  <si>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</si>
  <si>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</si>
  <si>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</si>
  <si>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</si>
  <si>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</si>
  <si>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</si>
  <si>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</si>
  <si>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</si>
  <si>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</si>
  <si>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</si>
  <si>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</si>
  <si>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</si>
  <si>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</si>
  <si>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</si>
  <si>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</si>
  <si>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</si>
  <si>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</si>
  <si>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</si>
  <si>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</si>
  <si>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</si>
  <si>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</si>
  <si>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</si>
  <si>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</si>
  <si>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</si>
  <si>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</si>
  <si>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</si>
  <si>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</si>
  <si>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</si>
  <si>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</si>
  <si>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</si>
  <si>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</si>
  <si>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</si>
  <si>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</si>
  <si>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</si>
  <si>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</si>
  <si>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</si>
  <si>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</si>
  <si>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</si>
  <si>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</si>
  <si>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</si>
  <si>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</si>
  <si>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</si>
  <si>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</si>
  <si>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</si>
  <si>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</si>
  <si>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</si>
  <si>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</si>
  <si>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</si>
  <si>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</si>
  <si>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</si>
  <si>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</si>
  <si>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</si>
  <si>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</si>
  <si>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</si>
  <si>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</si>
  <si>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</si>
  <si>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</si>
  <si>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</si>
  <si>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</si>
  <si>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</si>
  <si>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</si>
  <si>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</si>
  <si>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</si>
  <si>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</si>
  <si>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</si>
  <si>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</si>
  <si>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</si>
  <si>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</si>
  <si>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</si>
  <si>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</si>
  <si>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</si>
  <si>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</si>
  <si>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</si>
  <si>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</si>
  <si>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</si>
  <si>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</si>
  <si>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</si>
  <si>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</si>
  <si>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</si>
  <si>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</si>
  <si>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</si>
  <si>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</si>
  <si>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</si>
  <si>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</si>
  <si>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</si>
  <si>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</si>
  <si>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</si>
  <si>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</si>
  <si>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</si>
  <si>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</si>
  <si>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</si>
  <si>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</si>
  <si>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</si>
  <si>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</si>
  <si>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</si>
  <si>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</si>
  <si>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</si>
  <si>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</si>
  <si>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</si>
  <si>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</si>
  <si>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</si>
  <si>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</si>
  <si>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</si>
  <si>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</si>
  <si>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</si>
  <si>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</si>
  <si>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</si>
  <si>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</si>
  <si>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</si>
  <si>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</si>
  <si>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</si>
  <si>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</si>
  <si>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</si>
  <si>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</si>
  <si>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</si>
  <si>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</si>
  <si>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</si>
  <si>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</si>
  <si>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</si>
  <si>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</si>
  <si>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</si>
  <si>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</si>
  <si>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</si>
  <si>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</si>
  <si>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</si>
  <si>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</si>
  <si>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</si>
  <si>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</si>
  <si>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</si>
  <si>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</si>
  <si>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</si>
  <si>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</si>
  <si>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</si>
  <si>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</si>
  <si>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</si>
  <si>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</si>
  <si>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</si>
  <si>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</si>
  <si>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</si>
  <si>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</si>
  <si>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</si>
  <si>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</si>
  <si>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</si>
  <si>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</si>
  <si>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</si>
  <si>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</si>
  <si>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</si>
  <si>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</si>
  <si>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</si>
  <si>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</si>
  <si>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</si>
  <si>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</si>
  <si>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</si>
  <si>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</si>
  <si>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</si>
  <si>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</si>
  <si>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</si>
  <si>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</si>
  <si>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</si>
  <si>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</si>
  <si>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</si>
  <si>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</si>
  <si>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</si>
  <si>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</si>
  <si>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</si>
  <si>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</si>
  <si>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</si>
  <si>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</si>
  <si>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</si>
  <si>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</si>
  <si>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</si>
  <si>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</si>
  <si>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</si>
  <si>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</si>
  <si>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</si>
  <si>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</si>
  <si>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</si>
  <si>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</si>
  <si>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</si>
  <si>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</si>
  <si>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</si>
  <si>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</si>
  <si>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</si>
  <si>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</si>
  <si>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</si>
  <si>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</si>
  <si>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</si>
  <si>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</si>
  <si>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</si>
  <si>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</si>
  <si>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</si>
  <si>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</si>
  <si>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</si>
  <si>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</si>
  <si>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</si>
  <si>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</si>
  <si>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</si>
  <si>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</si>
  <si>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</si>
  <si>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</si>
  <si>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</si>
  <si>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</si>
  <si>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</si>
  <si>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</si>
  <si>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</si>
  <si>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</si>
  <si>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</si>
  <si>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</si>
  <si>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</si>
  <si>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</si>
  <si>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</si>
  <si>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</si>
  <si>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</si>
  <si>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</si>
  <si>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</si>
  <si>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</si>
  <si>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</si>
  <si>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</si>
  <si>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</si>
  <si>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</si>
  <si>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</si>
  <si>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</si>
  <si>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</si>
  <si>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</si>
  <si>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</si>
  <si>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</si>
  <si>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</si>
  <si>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</si>
  <si>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</si>
  <si>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</si>
  <si>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</si>
  <si>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</si>
  <si>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</si>
  <si>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</si>
  <si>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</si>
  <si>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</si>
  <si>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</si>
  <si>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</si>
  <si>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</si>
  <si>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</si>
  <si>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</si>
  <si>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</si>
  <si>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</si>
  <si>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</si>
  <si>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</si>
  <si>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</si>
  <si>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</si>
  <si>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</si>
  <si>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</si>
  <si>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</si>
  <si>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</si>
  <si>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</si>
  <si>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</si>
  <si>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</si>
  <si>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</si>
  <si>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</si>
  <si>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</si>
  <si>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</si>
  <si>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</si>
  <si>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</si>
  <si>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</si>
  <si>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</si>
  <si>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</si>
  <si>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</si>
  <si>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</si>
  <si>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</si>
  <si>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</si>
  <si>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</si>
  <si>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</si>
  <si>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</si>
  <si>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</si>
  <si>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</si>
  <si>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</si>
  <si>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</si>
  <si>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</si>
  <si>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</si>
  <si>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</si>
  <si>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</si>
  <si>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</si>
  <si>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</si>
  <si>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</si>
  <si>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</si>
  <si>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</si>
  <si>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</si>
  <si>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</si>
  <si>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</si>
  <si>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</si>
  <si>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</si>
  <si>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</si>
  <si>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</si>
  <si>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</si>
  <si>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</si>
  <si>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</si>
  <si>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</si>
  <si>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</si>
  <si>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</si>
  <si>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</si>
  <si>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</si>
  <si>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</si>
  <si>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</si>
  <si>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</si>
  <si>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</si>
  <si>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</si>
  <si>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</si>
  <si>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</si>
  <si>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</si>
  <si>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</si>
  <si>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</si>
  <si>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</si>
  <si>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</si>
  <si>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</si>
  <si>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</si>
  <si>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</si>
  <si>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</si>
  <si>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</si>
  <si>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</si>
  <si>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</si>
  <si>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</si>
  <si>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</si>
  <si>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</si>
  <si>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</si>
  <si>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</si>
  <si>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</si>
  <si>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</si>
  <si>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</si>
  <si>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</si>
  <si>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</si>
  <si>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</si>
  <si>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</si>
  <si>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</si>
  <si>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</si>
  <si>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</si>
  <si>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</si>
  <si>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</si>
  <si>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</si>
  <si>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</si>
  <si>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</si>
  <si>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</si>
  <si>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</si>
  <si>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</si>
  <si>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</si>
  <si>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</si>
  <si>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</si>
  <si>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</si>
  <si>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</si>
  <si>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</si>
  <si>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</si>
  <si>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</si>
  <si>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</si>
  <si>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</si>
  <si>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</si>
  <si>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</si>
  <si>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</si>
  <si>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</si>
  <si>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</si>
  <si>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</si>
  <si>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</si>
  <si>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</si>
  <si>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</si>
  <si>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</si>
  <si>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</si>
  <si>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</si>
  <si>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</si>
  <si>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</si>
  <si>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</si>
  <si>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</si>
  <si>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</si>
  <si>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</si>
  <si>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</si>
  <si>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</si>
  <si>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</si>
  <si>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</si>
  <si>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</si>
  <si>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</si>
  <si>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</si>
  <si>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</si>
  <si>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</si>
  <si>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</si>
  <si>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</si>
  <si>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</si>
  <si>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</si>
  <si>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</si>
  <si>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</si>
  <si>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</si>
  <si>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</si>
  <si>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</si>
  <si>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</si>
  <si>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</si>
  <si>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</si>
  <si>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</si>
  <si>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</si>
  <si>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</si>
  <si>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</si>
  <si>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</si>
  <si>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</si>
  <si>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</si>
  <si>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</si>
  <si>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</si>
  <si>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</si>
  <si>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</si>
  <si>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</si>
  <si>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</si>
  <si>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</si>
  <si>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</si>
  <si>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</si>
  <si>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</si>
  <si>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</si>
  <si>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</si>
  <si>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</si>
  <si>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</si>
  <si>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</si>
  <si>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</si>
  <si>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</si>
  <si>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</si>
  <si>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</si>
  <si>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</si>
  <si>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</si>
  <si>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</si>
  <si>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</si>
  <si>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</si>
  <si>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</si>
  <si>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</si>
  <si>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</si>
  <si>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</si>
  <si>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</si>
  <si>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</si>
  <si>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</si>
  <si>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</si>
  <si>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</si>
  <si>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</si>
  <si>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</si>
  <si>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</si>
  <si>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</si>
  <si>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</si>
  <si>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</si>
  <si>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</si>
  <si>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</si>
  <si>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</si>
  <si>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</si>
  <si>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</si>
  <si>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</si>
  <si>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</si>
  <si>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</si>
  <si>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</si>
  <si>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</si>
  <si>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</si>
  <si>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</si>
  <si>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</si>
  <si>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</si>
  <si>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</si>
  <si>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</si>
  <si>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</si>
  <si>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</si>
  <si>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</si>
  <si>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</si>
  <si>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</si>
  <si>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</si>
  <si>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</si>
  <si>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</si>
  <si>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</si>
  <si>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</si>
  <si>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</si>
  <si>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</si>
  <si>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</si>
  <si>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</si>
  <si>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</si>
  <si>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</si>
  <si>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</si>
  <si>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</si>
  <si>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</si>
  <si>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</si>
  <si>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</si>
  <si>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</si>
  <si>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</si>
  <si>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</si>
  <si>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</si>
  <si>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</si>
  <si>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</si>
  <si>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</si>
  <si>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</si>
  <si>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</si>
  <si>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</si>
  <si>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</si>
  <si>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</si>
  <si>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</si>
  <si>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</si>
  <si>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</si>
  <si>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</si>
  <si>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</si>
  <si>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</si>
  <si>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</si>
  <si>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</si>
  <si>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</si>
  <si>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</si>
  <si>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</si>
  <si>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</si>
  <si>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</si>
  <si>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</si>
  <si>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</si>
  <si>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</si>
  <si>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</si>
  <si>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</si>
  <si>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</si>
  <si>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</si>
  <si>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</si>
  <si>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</si>
  <si>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</si>
  <si>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</si>
  <si>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</si>
  <si>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</si>
  <si>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</si>
  <si>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</si>
  <si>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</si>
  <si>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</si>
  <si>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</si>
  <si>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</si>
  <si>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</si>
  <si>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SAN FERNANDO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</si>
</sst>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1Kf+VUSA3FSH3vd75htPbHf4UoPtP8E9qVcPzyemI4pHxywcsTAVqqJ5Wak1PCvKK9LYAPrx4dYRm7znAamcg==" saltValue="jPyH8IJUORrEIN7Fb2/yi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SAN FERNANDO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5478</v>
      </c>
      <c r="D12" s="403">
        <f>IF(ISNUMBER(C12/Datos!BH12),C12/Datos!BH12," - ")</f>
        <v>1369.5</v>
      </c>
      <c r="E12" s="402">
        <f>IF(ISNUMBER(IF(J_V="SI",Datos!J12,Datos!J12+Datos!Z12)),IF(J_V="SI",Datos!J12,Datos!J12+Datos!Z12)," - ")</f>
        <v>1173</v>
      </c>
      <c r="F12" s="403">
        <f>IF(ISNUMBER(E12/B12),E12/B12," - ")</f>
        <v>293.25</v>
      </c>
      <c r="G12" s="402">
        <f>IF(ISNUMBER(IF(J_V="SI",Datos!K12,Datos!K12+Datos!AA12)),IF(J_V="SI",Datos!K12,Datos!K12+Datos!AA12)," - ")</f>
        <v>1206</v>
      </c>
      <c r="H12" s="403">
        <f>IF(ISNUMBER(G12/B12),G12/B12," - ")</f>
        <v>301.5</v>
      </c>
      <c r="I12" s="402">
        <f>IF(ISNUMBER(IF(J_V="SI",Datos!L12,Datos!L12+Datos!AB12)),IF(J_V="SI",Datos!L12,Datos!L12+Datos!AB12)," - ")</f>
        <v>5445</v>
      </c>
      <c r="J12" s="403">
        <f>IF(ISNUMBER(I12/B12),I12/B12," - ")</f>
        <v>1361.25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5480</v>
      </c>
      <c r="D13" s="847" t="str">
        <f>IF(ISNUMBER(C13/Datos!BI13),C13/Datos!BI13," - ")</f>
        <v xml:space="preserve"> - </v>
      </c>
      <c r="E13" s="846">
        <f>SUBTOTAL(9,E8:E12)</f>
        <v>1173</v>
      </c>
      <c r="F13" s="847">
        <f>IF(ISNUMBER(E13/B13),E13/B13," - ")</f>
        <v>293.25</v>
      </c>
      <c r="G13" s="846">
        <f>SUBTOTAL(9,G8:G12)</f>
        <v>1206</v>
      </c>
      <c r="H13" s="847">
        <f>IF(ISNUMBER(G13/B13),G13/B13," - ")</f>
        <v>301.5</v>
      </c>
      <c r="I13" s="846">
        <f>SUBTOTAL(9,I8:I12)</f>
        <v>5447</v>
      </c>
      <c r="J13" s="847">
        <f>IF(ISNUMBER(I13/B13),I13/B13," - ")</f>
        <v>1361.75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1855</v>
      </c>
      <c r="D17" s="403">
        <f>IF(ISNUMBER(C17/Datos!BH17),C17/Datos!BH17," - ")</f>
        <v>463.75</v>
      </c>
      <c r="E17" s="402">
        <f>IF(ISNUMBER(IF(D_I="SI",Datos!J17,Datos!J17+Datos!AD17)),IF(D_I="SI",Datos!J17,Datos!J17+Datos!AD17)," - ")</f>
        <v>597</v>
      </c>
      <c r="F17" s="403">
        <f>IF(ISNUMBER(E17/B17),E17/B17," - ")</f>
        <v>149.25</v>
      </c>
      <c r="G17" s="402">
        <f>IF(ISNUMBER(IF(D_I="SI",Datos!K17,Datos!K17+Datos!AE17)),IF(D_I="SI",Datos!K17,Datos!K17+Datos!AE17)," - ")</f>
        <v>574</v>
      </c>
      <c r="H17" s="403">
        <f>IF(ISNUMBER(G17/B17),G17/B17," - ")</f>
        <v>143.5</v>
      </c>
      <c r="I17" s="402">
        <f>IF(ISNUMBER(IF(D_I="SI",Datos!L17,Datos!L17+Datos!AF17)),IF(D_I="SI",Datos!L17,Datos!L17+Datos!AF17)," - ")</f>
        <v>1878</v>
      </c>
      <c r="J17" s="403">
        <f>IF(ISNUMBER(I17/B17),I17/B17," - ")</f>
        <v>469.5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47</v>
      </c>
      <c r="D18" s="403">
        <f>IF(ISNUMBER(C18/Datos!BH18),C18/Datos!BH18," - ")</f>
        <v>47</v>
      </c>
      <c r="E18" s="402">
        <f>IF(ISNUMBER(IF(D_I="SI",Datos!J18,Datos!J18+Datos!AD18)),IF(D_I="SI",Datos!J18,Datos!J18+Datos!AD18)," - ")</f>
        <v>0</v>
      </c>
      <c r="F18" s="403">
        <f>IF(ISNUMBER(E18/B18),E18/B18," - ")</f>
        <v>0</v>
      </c>
      <c r="G18" s="402">
        <f>IF(ISNUMBER(IF(D_I="SI",Datos!K18,Datos!K18+Datos!AE18)),IF(D_I="SI",Datos!K18,Datos!K18+Datos!AE18)," - ")</f>
        <v>6</v>
      </c>
      <c r="H18" s="403">
        <f>IF(ISNUMBER(G18/B18),G18/B18," - ")</f>
        <v>6</v>
      </c>
      <c r="I18" s="402">
        <f>IF(ISNUMBER(IF(D_I="SI",Datos!L18,Datos!L18+Datos!AF18)),IF(D_I="SI",Datos!L18,Datos!L18+Datos!AF18)," - ")</f>
        <v>41</v>
      </c>
      <c r="J18" s="403">
        <f>IF(ISNUMBER(I18/B18),I18/B18," - ")</f>
        <v>41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1902</v>
      </c>
      <c r="D19" s="847" t="str">
        <f>IF(ISNUMBER(C19/Datos!BI19),C19/Datos!BI19," - ")</f>
        <v xml:space="preserve"> - </v>
      </c>
      <c r="E19" s="846">
        <f>SUBTOTAL(9,E14:E18)</f>
        <v>597</v>
      </c>
      <c r="F19" s="847">
        <f>IF(ISNUMBER(E19/B19),E19/B19," - ")</f>
        <v>149.25</v>
      </c>
      <c r="G19" s="846">
        <f>SUBTOTAL(9,G14:G18)</f>
        <v>580</v>
      </c>
      <c r="H19" s="847">
        <f>IF(ISNUMBER(G19/B19),G19/B19," - ")</f>
        <v>145</v>
      </c>
      <c r="I19" s="846">
        <f>SUBTOTAL(9,I14:I18)</f>
        <v>1919</v>
      </c>
      <c r="J19" s="847">
        <f>IF(ISNUMBER(I19/B19),I19/B19," - ")</f>
        <v>479.75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7382</v>
      </c>
      <c r="D20" s="792" t="str">
        <f>IF(ISNUMBER(C20/Datos!BI20),C20/Datos!BI20," - ")</f>
        <v xml:space="preserve"> - </v>
      </c>
      <c r="E20" s="791">
        <f>SUBTOTAL(9,E9:E19)</f>
        <v>1770</v>
      </c>
      <c r="F20" s="792">
        <f>IF(ISNUMBER(E20/B20),E20/B20," - ")</f>
        <v>442.5</v>
      </c>
      <c r="G20" s="791">
        <f>SUBTOTAL(9,G9:G19)</f>
        <v>1786</v>
      </c>
      <c r="H20" s="792">
        <f>IF(ISNUMBER(G20/B20),G20/B20," - ")</f>
        <v>446.5</v>
      </c>
      <c r="I20" s="791">
        <f>SUBTOTAL(9,I9:I19)</f>
        <v>7366</v>
      </c>
      <c r="J20" s="792">
        <f>IF(ISNUMBER(I20/B20),I20/B20," - ")</f>
        <v>1841.5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8PpiJnyabrKTOCiwT0W9PGjIu1JCEGB9BVHsmmHtQsMTq2vvnhOcus9jocsNPFg9/jODv8pRdyP0pC2sBS5w==" saltValue="na5WBHEeo1XqLZ6+CEZ4U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SAN FERNANDO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6TcxHgV+QfV9tOXdb5k+iNzH+J7Ks20/N8gkB0P4ZPWNtug8DFXMJ8R5f4l/xViN9N4aMQhdZbaB/P2ToSziQ==" saltValue="hyNqpKxAHuWymvp2nZeI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SAN FERNANDO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331</v>
      </c>
      <c r="E12" s="403">
        <f t="shared" si="0"/>
        <v>82.75</v>
      </c>
      <c r="F12" s="402">
        <f>IF(ISNUMBER(Datos!N12),Datos!N12," - ")</f>
        <v>340</v>
      </c>
      <c r="G12" s="403">
        <f t="shared" si="1"/>
        <v>85</v>
      </c>
      <c r="H12" s="402">
        <f>IF(ISNUMBER(Datos!O12),Datos!O12," - ")</f>
        <v>730</v>
      </c>
      <c r="I12" s="403">
        <f t="shared" si="2"/>
        <v>182.5</v>
      </c>
      <c r="BZ12" s="1181">
        <f>Datos!EZ12</f>
        <v>0</v>
      </c>
    </row>
    <row r="13" spans="1:78" ht="14.25" thickTop="1" thickBot="1">
      <c r="A13" s="845" t="str">
        <f>Datos!A13</f>
        <v>TOTAL</v>
      </c>
      <c r="B13" s="846">
        <f>Datos!AP13</f>
        <v>4</v>
      </c>
      <c r="C13" s="848">
        <f>Datos!AR13</f>
        <v>4</v>
      </c>
      <c r="D13" s="846">
        <f>SUBTOTAL(9,D9:D12)</f>
        <v>331</v>
      </c>
      <c r="E13" s="847">
        <f t="shared" si="0"/>
        <v>82.75</v>
      </c>
      <c r="F13" s="846">
        <f>SUBTOTAL(9,F9:F12)</f>
        <v>340</v>
      </c>
      <c r="G13" s="847">
        <f t="shared" si="1"/>
        <v>85</v>
      </c>
      <c r="H13" s="846">
        <f>SUBTOTAL(9,H9:H12)</f>
        <v>730</v>
      </c>
      <c r="I13" s="847">
        <f>IF(ISNUMBER(H13/B13),H13/B13," - ")</f>
        <v>182.5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166</v>
      </c>
      <c r="E17" s="403">
        <f t="shared" si="3"/>
        <v>41.5</v>
      </c>
      <c r="F17" s="402">
        <f>IF(ISNUMBER(Datos!N17),Datos!N17," - ")</f>
        <v>268</v>
      </c>
      <c r="G17" s="403">
        <f t="shared" si="4"/>
        <v>67</v>
      </c>
      <c r="H17" s="402">
        <f>IF(ISNUMBER(Datos!O17),Datos!O17," - ")</f>
        <v>5</v>
      </c>
      <c r="I17" s="403">
        <f t="shared" si="5"/>
        <v>1.25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166</v>
      </c>
      <c r="E19" s="847">
        <f t="shared" si="3"/>
        <v>41.5</v>
      </c>
      <c r="F19" s="846">
        <f>SUBTOTAL(9,F15:F18)</f>
        <v>272</v>
      </c>
      <c r="G19" s="847">
        <f t="shared" si="4"/>
        <v>68</v>
      </c>
      <c r="H19" s="846">
        <f>SUBTOTAL(9,H15:H18)</f>
        <v>5</v>
      </c>
      <c r="I19" s="847">
        <f>IF(ISNUMBER(H19/B19),H19/B19," - ")</f>
        <v>1.25</v>
      </c>
      <c r="BZ19" s="1181"/>
    </row>
    <row r="20" spans="1:78" ht="14.25" thickTop="1" thickBot="1">
      <c r="A20" s="790" t="str">
        <f>Datos!A20</f>
        <v>TOTAL JURISDICCIONES</v>
      </c>
      <c r="B20" s="791">
        <f>Datos!AP20</f>
        <v>4</v>
      </c>
      <c r="C20" s="791">
        <f>Datos!AR20</f>
        <v>4</v>
      </c>
      <c r="D20" s="791">
        <f>SUBTOTAL(9,D8:D19)</f>
        <v>497</v>
      </c>
      <c r="E20" s="792">
        <f>IF(ISNUMBER(D20/B20),D20/B20," - ")</f>
        <v>124.25</v>
      </c>
      <c r="F20" s="791">
        <f>SUBTOTAL(9,F8:F19)</f>
        <v>612</v>
      </c>
      <c r="G20" s="792">
        <f>IF(ISNUMBER(F20/B20),F20/B20," - ")</f>
        <v>153</v>
      </c>
      <c r="H20" s="791">
        <f>SUBTOTAL(9,H8:H19)</f>
        <v>735</v>
      </c>
      <c r="I20" s="792">
        <f>IF(ISNUMBER(H20/B20),H20/B20," - ")</f>
        <v>183.75</v>
      </c>
    </row>
    <row r="23" spans="1:78">
      <c r="A23" s="390" t="str">
        <f>Criterios!A4</f>
        <v>Fecha Informe: 06 oct. 2026</v>
      </c>
    </row>
    <row r="28" spans="1:78">
      <c r="A28" s="413"/>
    </row>
  </sheetData>
  <sheetProtection algorithmName="SHA-512" hashValue="e2PKd+fgmzLRCJVdk8k3THmMjApCfQCE90RZjJ2BHyAg6PQbXM77JwCC4gQ9BoYHaaG9hzcchIJo6wJXEoKgHA==" saltValue="vh0ZxoqEGPrG5BO0kjZHe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SAN FERNANDO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353</v>
      </c>
      <c r="C12" s="433">
        <f>IF(ISNUMBER(Datos!Q12),Datos!Q12," - ")</f>
        <v>240</v>
      </c>
      <c r="D12" s="407">
        <f>IF(ISNUMBER(Datos!R12),Datos!R12," - ")</f>
        <v>5980</v>
      </c>
    </row>
    <row r="13" spans="1:4" ht="14.25" thickTop="1" thickBot="1">
      <c r="A13" s="845" t="str">
        <f>Datos!A13</f>
        <v>TOTAL</v>
      </c>
      <c r="B13" s="846">
        <f>SUBTOTAL(9,B9:B12)</f>
        <v>353</v>
      </c>
      <c r="C13" s="850">
        <f>SUBTOTAL(9,C9:C12)</f>
        <v>240</v>
      </c>
      <c r="D13" s="848">
        <f>SUBTOTAL(9,D9:D12)</f>
        <v>5980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29</v>
      </c>
      <c r="C17" s="433">
        <f>IF(ISNUMBER(Datos!Q17),Datos!Q17," - ")</f>
        <v>37</v>
      </c>
      <c r="D17" s="407">
        <f>IF(ISNUMBER(Datos!R17),Datos!R17," - ")</f>
        <v>318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29</v>
      </c>
      <c r="C19" s="850">
        <f>SUBTOTAL(9,C15:C18)</f>
        <v>37</v>
      </c>
      <c r="D19" s="848">
        <f>SUBTOTAL(9,D15:D18)</f>
        <v>318</v>
      </c>
    </row>
    <row r="20" spans="1:4" ht="16.5" customHeight="1" thickTop="1" thickBot="1">
      <c r="A20" s="790" t="str">
        <f>Datos!A20</f>
        <v>TOTAL JURISDICCIONES</v>
      </c>
      <c r="B20" s="795">
        <f>SUBTOTAL(9,B8:B19)</f>
        <v>382</v>
      </c>
      <c r="C20" s="796">
        <f>SUBTOTAL(9,C8:C19)</f>
        <v>277</v>
      </c>
      <c r="D20" s="797">
        <f>SUBTOTAL(9,D8:D19)</f>
        <v>6298</v>
      </c>
    </row>
    <row r="21" spans="1:4" ht="7.5" customHeight="1"/>
    <row r="22" spans="1:4" ht="6" customHeight="1"/>
    <row r="23" spans="1:4">
      <c r="A23" s="390" t="str">
        <f>Criterios!A4</f>
        <v>Fecha Informe: 06 oct. 2026</v>
      </c>
    </row>
    <row r="28" spans="1:4">
      <c r="A28" s="413"/>
    </row>
  </sheetData>
  <sheetProtection algorithmName="SHA-512" hashValue="vIBdiXTqNr40BRcFm/n/ObkbJd/arjt4iGVUw2Jl0jqLg/alXuVA1UD66lmrVkJ5e6fvBhYyGQFOX6I7e5Uflw==" saltValue="XV5F3tnkwsjPj+GW0ZZ58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SAN FERNANDO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v>
      </c>
      <c r="C10" s="455" t="str">
        <f>IF(ISNUMBER((Datos!J10-Datos!T10)/Datos!T10),(Datos!J10-Datos!T10)/Datos!T10," - ")</f>
        <v xml:space="preserve"> - </v>
      </c>
      <c r="D10" s="455">
        <f>IF(ISNUMBER((Datos!K10-Datos!U10)/Datos!U10),(Datos!K10-Datos!U10)/Datos!U10," - ")</f>
        <v>-1</v>
      </c>
      <c r="E10" s="455">
        <f>IF(ISNUMBER((Datos!L10-Datos!V10)/Datos!V10),(Datos!L10-Datos!V10)/Datos!V10," - ")</f>
        <v>-0.5</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-0.1896449704142012</v>
      </c>
      <c r="C12" s="455">
        <f>IF(ISNUMBER(
   IF(J_V="SI",(Datos!J12-Datos!T12)/Datos!T12,(Datos!J12+Datos!Z12-(Datos!T12+Datos!AH12))/(Datos!T12+Datos!AH12))
     ),IF(J_V="SI",(Datos!J12-Datos!T12)/Datos!T12,(Datos!J12+Datos!Z12-(Datos!T12+Datos!AH12))/(Datos!T12+Datos!AH12))," - ")</f>
        <v>-4.1666666666666664E-2</v>
      </c>
      <c r="D12" s="455">
        <f>IF(ISNUMBER(
   IF(J_V="SI",(Datos!K12-Datos!U12)/Datos!U12,(Datos!K12+Datos!AA12-(Datos!U12+Datos!AI12))/(Datos!U12+Datos!AI12))
     ),IF(J_V="SI",(Datos!K12-Datos!U12)/Datos!U12,(Datos!K12+Datos!AA12-(Datos!U12+Datos!AI12))/(Datos!U12+Datos!AI12))," - ")</f>
        <v>-0.2308673469387755</v>
      </c>
      <c r="E12" s="455">
        <f>IF(ISNUMBER(
   IF(J_V="SI",(Datos!L12-Datos!V12)/Datos!V12,(Datos!L12+Datos!AB12-(Datos!V12+Datos!AJ12))/(Datos!V12+Datos!AJ12))
     ),IF(J_V="SI",(Datos!L12-Datos!V12)/Datos!V12,(Datos!L12+Datos!AB12-(Datos!V12+Datos!AJ12))/(Datos!V12+Datos!AJ12))," - ")</f>
        <v>-0.15134039900249377</v>
      </c>
      <c r="F12" s="455">
        <f>IF(ISNUMBER((Datos!M12-Datos!W12)/Datos!W12),(Datos!M12-Datos!W12)/Datos!W12," - ")</f>
        <v>-0.34194831013916499</v>
      </c>
      <c r="G12" s="456">
        <f>IF(ISNUMBER((Datos!N12-Datos!X12)/Datos!X12),(Datos!N12-Datos!X12)/Datos!X12," - ")</f>
        <v>-0.34615384615384615</v>
      </c>
      <c r="H12" s="454">
        <f>IF(ISNUMBER(((NºAsuntos!G12/NºAsuntos!E12)-Datos!BD12)/Datos!BD12),((NºAsuntos!G12/NºAsuntos!E12)-Datos!BD12)/Datos!BD12," - ")</f>
        <v>-0.19742679680567879</v>
      </c>
      <c r="I12" s="455">
        <f>IF(ISNUMBER(((NºAsuntos!I12/NºAsuntos!G12)-Datos!BE12)/Datos!BE12),((NºAsuntos!I12/NºAsuntos!G12)-Datos!BE12)/Datos!BE12," - ")</f>
        <v>0.10339822086574603</v>
      </c>
      <c r="J12" s="460">
        <f>IF(ISNUMBER((('Resol  Asuntos'!D12/NºAsuntos!G12)-Datos!BF12)/Datos!BF12),(('Resol  Asuntos'!D12/NºAsuntos!G12)-Datos!BF12)/Datos!BF12," - ")</f>
        <v>-0.17239443806607974</v>
      </c>
      <c r="K12" s="461">
        <f>IF(ISNUMBER((((NºAsuntos!C12+NºAsuntos!E12)/NºAsuntos!G12)-Datos!BG12)/Datos!BG12),(((NºAsuntos!C12+NºAsuntos!E12)/NºAsuntos!G12)-Datos!BG12)/Datos!BG12," - ")</f>
        <v>8.3091556246821963E-2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-0.18994826311899482</v>
      </c>
      <c r="C13" s="852">
        <f>IF(ISNUMBER(
   IF(J_V="SI",(Datos!J13-Datos!T13)/Datos!T13,(Datos!J13+Datos!Z13-(Datos!T13+Datos!AH13))/(Datos!T13+Datos!AH13))
     ),IF(J_V="SI",(Datos!J13-Datos!T13)/Datos!T13,(Datos!J13+Datos!Z13-(Datos!T13+Datos!AH13))/(Datos!T13+Datos!AH13))," - ")</f>
        <v>-4.1666666666666664E-2</v>
      </c>
      <c r="D13" s="852">
        <f>IF(ISNUMBER(
   IF(J_V="SI",(Datos!K13-Datos!U13)/Datos!U13,(Datos!K13+Datos!AA13-(Datos!U13+Datos!AI13))/(Datos!U13+Datos!AI13))
     ),IF(J_V="SI",(Datos!K13-Datos!U13)/Datos!U13,(Datos!K13+Datos!AA13-(Datos!U13+Datos!AI13))/(Datos!U13+Datos!AI13))," - ")</f>
        <v>-0.23135755258126195</v>
      </c>
      <c r="E13" s="852">
        <f>IF(ISNUMBER(
   IF(J_V="SI",(Datos!L13-Datos!V13)/Datos!V13,(Datos!L13+Datos!AB13-(Datos!V13+Datos!AJ13))/(Datos!V13+Datos!AJ13))
     ),IF(J_V="SI",(Datos!L13-Datos!V13)/Datos!V13,(Datos!L13+Datos!AB13-(Datos!V13+Datos!AJ13))/(Datos!V13+Datos!AJ13))," - ")</f>
        <v>-0.15155763239875389</v>
      </c>
      <c r="F13" s="853">
        <f>IF(ISNUMBER((Datos!M13-Datos!W13)/Datos!W13),(Datos!M13-Datos!W13)/Datos!W13," - ")</f>
        <v>-0.34325396825396826</v>
      </c>
      <c r="G13" s="854">
        <f>IF(ISNUMBER((Datos!N13-Datos!X13)/Datos!X13),(Datos!N13-Datos!X13)/Datos!X13," - ")</f>
        <v>-0.34615384615384615</v>
      </c>
      <c r="H13" s="854">
        <f>IF(ISNUMBER(((NºAsuntos!G13/NºAsuntos!E13)-Datos!BD13)/Datos!BD13),((NºAsuntos!G13/NºAsuntos!E13)-Datos!BD13)/Datos!BD13," - ")</f>
        <v>-0.19793831573696913</v>
      </c>
      <c r="I13" s="854">
        <f>IF(ISNUMBER(((NºAsuntos!I13/NºAsuntos!G13)-Datos!BE13)/Datos!BE13),((NºAsuntos!I13/NºAsuntos!G13)-Datos!BE13)/Datos!BE13," - ")</f>
        <v>0.10381929914291461</v>
      </c>
      <c r="J13" s="854">
        <f>IF(ISNUMBER((('Resol  Asuntos'!D13/NºAsuntos!G13)-Datos!BF13)/Datos!BF13),(('Resol  Asuntos'!D13/NºAsuntos!G13)-Datos!BF13)/Datos!BF13," - ")</f>
        <v>-0.17345613582757985</v>
      </c>
      <c r="K13" s="854">
        <f>IF(ISNUMBER((((NºAsuntos!C13+NºAsuntos!E13)/NºAsuntos!G13)-Datos!BG13)/Datos!BG13),(((NºAsuntos!C13+NºAsuntos!E13)/NºAsuntos!G13)-Datos!BG13)/Datos!BG13," - ")</f>
        <v>8.342970340436999E-2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2.0913593835993397E-2</v>
      </c>
      <c r="C17" s="455">
        <f>IF(ISNUMBER(
   IF(D_I="SI",(Datos!J17-Datos!T17)/Datos!T17,(Datos!J17+Datos!AD17-(Datos!T17+Datos!AL17))/(Datos!T17+Datos!AL17))
     ),IF(D_I="SI",(Datos!J17-Datos!T17)/Datos!T17,(Datos!J17+Datos!AD17-(Datos!T17+Datos!AL17))/(Datos!T17+Datos!AL17))," - ")</f>
        <v>-0.39757820383451059</v>
      </c>
      <c r="D17" s="455">
        <f>IF(ISNUMBER(
   IF(D_I="SI",(Datos!K17-Datos!U17)/Datos!U17,(Datos!K17+Datos!AE17-(Datos!U17+Datos!AM17))/(Datos!U17+Datos!AM17))
     ),IF(D_I="SI",(Datos!K17-Datos!U17)/Datos!U17,(Datos!K17+Datos!AE17-(Datos!U17+Datos!AM17))/(Datos!U17+Datos!AM17))," - ")</f>
        <v>-0.32549941245593422</v>
      </c>
      <c r="E17" s="455">
        <f>IF(ISNUMBER(
   IF(D_I="SI",(Datos!L17-Datos!V17)/Datos!V17,(Datos!L17+Datos!AF17-(Datos!V17+Datos!AN17))/(Datos!V17+Datos!AN17))
     ),IF(D_I="SI",(Datos!L17-Datos!V17)/Datos!V17,(Datos!L17+Datos!AF17-(Datos!V17+Datos!AN17))/(Datos!V17+Datos!AN17))," - ")</f>
        <v>-4.0367910066428203E-2</v>
      </c>
      <c r="F17" s="455">
        <f>IF(ISNUMBER((Datos!M17-Datos!W17)/Datos!W17),(Datos!M17-Datos!W17)/Datos!W17," - ")</f>
        <v>-0.21698113207547171</v>
      </c>
      <c r="G17" s="456">
        <f>IF(ISNUMBER((Datos!N17-Datos!X17)/Datos!X17),(Datos!N17-Datos!X17)/Datos!X17," - ")</f>
        <v>-0.38812785388127852</v>
      </c>
      <c r="H17" s="454">
        <f>IF(ISNUMBER(((NºAsuntos!G17/NºAsuntos!E17)-Datos!BD17)/Datos!BD17),((NºAsuntos!G17/NºAsuntos!E17)-Datos!BD17)/Datos!BD17," - ")</f>
        <v>0.11964837898855819</v>
      </c>
      <c r="I17" s="455">
        <f>IF(ISNUMBER(((NºAsuntos!I17/NºAsuntos!G17)-Datos!BE17)/Datos!BE17),((NºAsuntos!I17/NºAsuntos!G17)-Datos!BE17)/Datos!BE17," - ")</f>
        <v>0.42272980580743819</v>
      </c>
      <c r="J17" s="460">
        <f>IF(ISNUMBER((('Resol  Asuntos'!D17/NºAsuntos!G17)-Datos!BF17)/Datos!BF17),(('Resol  Asuntos'!D17/NºAsuntos!G17)-Datos!BF17)/Datos!BF17," - ")</f>
        <v>0.16088685819472751</v>
      </c>
      <c r="K17" s="461">
        <f>IF(ISNUMBER((((NºAsuntos!C17+NºAsuntos!E17)/NºAsuntos!G17)-Datos!BG17)/Datos!BG17),(((NºAsuntos!C17+NºAsuntos!E17)/NºAsuntos!G17)-Datos!BG17)/Datos!BG17," - ")</f>
        <v>0.29461617876252016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0.34285714285714286</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-0.49382716049382713</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f>IF(ISNUMBER(((NºAsuntos!I18/NºAsuntos!G18)-Datos!BE18)/Datos!BE18),((NºAsuntos!I18/NºAsuntos!G18)-Datos!BE18)/Datos!BE18," - ")</f>
        <v>-0.74691358024691368</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-0.32857142857142857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2.6997840172786176E-2</v>
      </c>
      <c r="C19" s="852">
        <f>IF(ISNUMBER(
   IF(Criterios!B14="SI",(Datos!J19-Datos!T19)/Datos!T19,(Datos!J19+Datos!AD19-(Datos!T19+Datos!AL19))/(Datos!T19+Datos!AL19))
     ),IF(Criterios!B14="SI",(Datos!J19-Datos!T19)/Datos!T19,(Datos!J19+Datos!AD19-(Datos!T19+Datos!AL19))/(Datos!T19+Datos!AL19))," - ")</f>
        <v>-0.39757820383451059</v>
      </c>
      <c r="D19" s="852">
        <f>IF(ISNUMBER(
   IF(Criterios!B14="SI",(Datos!K19-Datos!U19)/Datos!U19,(Datos!K19+Datos!AE19-(Datos!U19+Datos!AM19))/(Datos!U19+Datos!AM19))
     ),IF(Criterios!B14="SI",(Datos!K19-Datos!U19)/Datos!U19,(Datos!K19+Datos!AE19-(Datos!U19+Datos!AM19))/(Datos!U19+Datos!AM19))," - ")</f>
        <v>-0.32084309133489464</v>
      </c>
      <c r="E19" s="852">
        <f>IF(ISNUMBER(
   IF(Criterios!B14="SI",(Datos!L19-Datos!V19)/Datos!V19,(Datos!L19+Datos!AF19-(Datos!V19+Datos!AN19))/(Datos!V19+Datos!AN19))
     ),IF(Criterios!B14="SI",(Datos!L19-Datos!V19)/Datos!V19,(Datos!L19+Datos!AF19-(Datos!V19+Datos!AN19))/(Datos!V19+Datos!AN19))," - ")</f>
        <v>-5.8390578999018644E-2</v>
      </c>
      <c r="F19" s="853">
        <f>IF(ISNUMBER((Datos!M19-Datos!W19)/Datos!W19),(Datos!M19-Datos!W19)/Datos!W19," - ")</f>
        <v>-0.21698113207547171</v>
      </c>
      <c r="G19" s="854">
        <f>IF(ISNUMBER((Datos!N19-Datos!X19)/Datos!X19),(Datos!N19-Datos!X19)/Datos!X19," - ")</f>
        <v>-0.37899543378995432</v>
      </c>
      <c r="H19" s="854">
        <f>IF(ISNUMBER(((NºAsuntos!G19/NºAsuntos!E19)-Datos!BD19)/Datos!BD19),((NºAsuntos!G19/NºAsuntos!E19)-Datos!BD19)/Datos!BD19," - ")</f>
        <v>0.12737771605882656</v>
      </c>
      <c r="I19" s="854">
        <f>IF(ISNUMBER(((NºAsuntos!I19/NºAsuntos!G19)-Datos!BE19)/Datos!BE19),((NºAsuntos!I19/NºAsuntos!G19)-Datos!BE19)/Datos!BE19," - ")</f>
        <v>0.38643869919799656</v>
      </c>
      <c r="J19" s="854">
        <f>IF(ISNUMBER((('Resol  Asuntos'!D19/NºAsuntos!G19)-Datos!BF19)/Datos!BF19),(('Resol  Asuntos'!D19/NºAsuntos!G19)-Datos!BF19)/Datos!BF19," - ")</f>
        <v>0.15292778139232277</v>
      </c>
      <c r="K19" s="854">
        <f>IF(ISNUMBER((((NºAsuntos!C19+NºAsuntos!E19)/NºAsuntos!G19)-Datos!BG19)/Datos!BG19),(((NºAsuntos!C19+NºAsuntos!E19)/NºAsuntos!G19)-Datos!BG19)/Datos!BG19," - ")</f>
        <v>0.29425327786335465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-0.14332134153417664</v>
      </c>
      <c r="C20" s="799">
        <f>IF(ISNUMBER(
   IF(J_V="SI",(Datos!J20-Datos!T20)/Datos!T20,(Datos!J20+Datos!Z20-(Datos!T20+Datos!AH20))/(Datos!T20+Datos!AH20))
     ),IF(J_V="SI",(Datos!J20-Datos!T20)/Datos!T20,(Datos!J20+Datos!Z20-(Datos!T20+Datos!AH20))/(Datos!T20+Datos!AH20))," - ")</f>
        <v>-0.20090293453724606</v>
      </c>
      <c r="D20" s="799">
        <f>IF(ISNUMBER(
   IF(J_V="SI",(Datos!K20-Datos!U20)/Datos!U20,(Datos!K20+Datos!AA20-(Datos!U20+Datos!AI20))/(Datos!U20+Datos!AI20))
     ),IF(J_V="SI",(Datos!K20-Datos!U20)/Datos!U20,(Datos!K20+Datos!AA20-(Datos!U20+Datos!AI20))/(Datos!U20+Datos!AI20))," - ")</f>
        <v>-0.26289723483285182</v>
      </c>
      <c r="E20" s="799">
        <f>IF(ISNUMBER(
   IF(J_V="SI",(Datos!L20-Datos!V20)/Datos!V20,(Datos!L20+Datos!AB20-(Datos!V20+Datos!AJ20))/(Datos!V20+Datos!AJ20))
     ),IF(J_V="SI",(Datos!L20-Datos!V20)/Datos!V20,(Datos!L20+Datos!AB20-(Datos!V20+Datos!AJ20))/(Datos!V20+Datos!AJ20))," - ")</f>
        <v>-0.12910853629699692</v>
      </c>
      <c r="F20" s="800">
        <f>IF(ISNUMBER((Datos!M20-Datos!W20)/Datos!W20),(Datos!M20-Datos!W20)/Datos!W20," - ")</f>
        <v>-0.30586592178770949</v>
      </c>
      <c r="G20" s="801">
        <f>IF(ISNUMBER((Datos!N20-Datos!X20)/Datos!X20),(Datos!N20-Datos!X20)/Datos!X20," - ")</f>
        <v>-0.36116910229645094</v>
      </c>
      <c r="H20" s="802">
        <f>IF(ISNUMBER((Tasas!B20-Datos!BD20)/Datos!BD20),(Tasas!B20-Datos!BD20)/Datos!BD20," - ")</f>
        <v>-7.7580437940546199E-2</v>
      </c>
      <c r="I20" s="803">
        <f>IF(ISNUMBER((Tasas!C20-Datos!BE20)/Datos!BE20),(Tasas!C20-Datos!BE20)/Datos!BE20," - ")</f>
        <v>0.18150616828240568</v>
      </c>
      <c r="J20" s="804">
        <f>IF(ISNUMBER((Tasas!D20-Datos!BF20)/Datos!BF20),(Tasas!D20-Datos!BF20)/Datos!BF20," - ")</f>
        <v>-8.0134409053896391E-2</v>
      </c>
      <c r="K20" s="804">
        <f>IF(ISNUMBER((Tasas!E20-Datos!BG20)/Datos!BG20),(Tasas!E20-Datos!BG20)/Datos!BG20," - ")</f>
        <v>0.14624992349820778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6Tv8dN5/nihJuqlcFlCUKEqsgYFQeqgNjF95l+2tdm4OqdDklYI8+liVvZrMjTH99JYtsYX/+azm7//x7wNKw==" saltValue="tnD4ht/2ITpl+FsNw3UuA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SAN FERNANDO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1.0281329923273657</v>
      </c>
      <c r="C12" s="442">
        <f>IF(ISNUMBER(NºAsuntos!I12/NºAsuntos!G12),NºAsuntos!I12/NºAsuntos!G12," - ")</f>
        <v>4.5149253731343286</v>
      </c>
      <c r="D12" s="443">
        <f>IF(ISNUMBER('Resol  Asuntos'!D12/NºAsuntos!G12),'Resol  Asuntos'!D12/NºAsuntos!G12," - ")</f>
        <v>0.2744610281923715</v>
      </c>
      <c r="E12" s="444">
        <f>IF(ISNUMBER((NºAsuntos!C12+NºAsuntos!E12)/NºAsuntos!G12),(NºAsuntos!C12+NºAsuntos!E12)/NºAsuntos!G12," - ")</f>
        <v>5.5149253731343286</v>
      </c>
      <c r="G12" s="462"/>
    </row>
    <row r="13" spans="1:7" ht="14.25" thickTop="1" thickBot="1">
      <c r="A13" s="845" t="str">
        <f>Datos!A13</f>
        <v>TOTAL</v>
      </c>
      <c r="B13" s="855">
        <f>IF(ISNUMBER(NºAsuntos!G13/NºAsuntos!E13),NºAsuntos!G13/NºAsuntos!E13," - ")</f>
        <v>1.0281329923273657</v>
      </c>
      <c r="C13" s="856">
        <f>IF(ISNUMBER(NºAsuntos!I13/NºAsuntos!G13),NºAsuntos!I13/NºAsuntos!G13," - ")</f>
        <v>4.5165837479270312</v>
      </c>
      <c r="D13" s="857">
        <f>IF(ISNUMBER('Resol  Asuntos'!D13/NºAsuntos!G13),'Resol  Asuntos'!D13/NºAsuntos!G13," - ")</f>
        <v>0.2744610281923715</v>
      </c>
      <c r="E13" s="858">
        <f>IF(ISNUMBER((NºAsuntos!C13+NºAsuntos!E13)/NºAsuntos!G13),(NºAsuntos!C13+NºAsuntos!E13)/NºAsuntos!G13," - ")</f>
        <v>5.5165837479270312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0.96147403685092125</v>
      </c>
      <c r="C17" s="442">
        <f>IF(ISNUMBER(NºAsuntos!I17/NºAsuntos!G17),NºAsuntos!I17/NºAsuntos!G17," - ")</f>
        <v>3.2717770034843205</v>
      </c>
      <c r="D17" s="443">
        <f>IF(ISNUMBER('Resol  Asuntos'!D17/NºAsuntos!G17),'Resol  Asuntos'!D17/NºAsuntos!G17," - ")</f>
        <v>0.28919860627177701</v>
      </c>
      <c r="E17" s="444">
        <f>IF(ISNUMBER((NºAsuntos!C17+NºAsuntos!E17)/NºAsuntos!G17),(NºAsuntos!C17+NºAsuntos!E17)/NºAsuntos!G17," - ")</f>
        <v>4.2717770034843205</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6.833333333333333</v>
      </c>
      <c r="D18" s="443">
        <f>IF(ISNUMBER('Resol  Asuntos'!D18/NºAsuntos!G18),'Resol  Asuntos'!D18/NºAsuntos!G18," - ")</f>
        <v>0</v>
      </c>
      <c r="E18" s="444">
        <f>IF(ISNUMBER((NºAsuntos!C18+NºAsuntos!E18)/NºAsuntos!G18),(NºAsuntos!C18+NºAsuntos!E18)/NºAsuntos!G18," - ")</f>
        <v>7.833333333333333</v>
      </c>
      <c r="G18" s="462"/>
    </row>
    <row r="19" spans="1:7" ht="14.25" thickTop="1" thickBot="1">
      <c r="A19" s="845" t="str">
        <f>Datos!A19</f>
        <v>TOTAL</v>
      </c>
      <c r="B19" s="855">
        <f>IF(ISNUMBER(NºAsuntos!G19/NºAsuntos!E19),NºAsuntos!G19/NºAsuntos!E19," - ")</f>
        <v>0.9715242881072027</v>
      </c>
      <c r="C19" s="856">
        <f>IF(ISNUMBER(NºAsuntos!I19/NºAsuntos!G19),NºAsuntos!I19/NºAsuntos!G19," - ")</f>
        <v>3.3086206896551724</v>
      </c>
      <c r="D19" s="859">
        <f>IF(ISNUMBER('Resol  Asuntos'!D19/NºAsuntos!G19),'Resol  Asuntos'!D19/NºAsuntos!G19," - ")</f>
        <v>0.28620689655172415</v>
      </c>
      <c r="E19" s="858">
        <f>IF(ISNUMBER((NºAsuntos!C19+NºAsuntos!E19)/NºAsuntos!G19),(NºAsuntos!C19+NºAsuntos!E19)/NºAsuntos!G19," - ")</f>
        <v>4.3086206896551724</v>
      </c>
      <c r="G19" s="462"/>
    </row>
    <row r="20" spans="1:7" ht="15.75" customHeight="1" thickTop="1" thickBot="1">
      <c r="A20" s="790" t="str">
        <f>Datos!A20</f>
        <v>TOTAL JURISDICCIONES</v>
      </c>
      <c r="B20" s="805">
        <f>IF(ISNUMBER(NºAsuntos!G20/NºAsuntos!E20),NºAsuntos!G20/NºAsuntos!E20," - ")</f>
        <v>1.0090395480225989</v>
      </c>
      <c r="C20" s="806">
        <f>IF(ISNUMBER(NºAsuntos!I20/NºAsuntos!G20),NºAsuntos!I20/NºAsuntos!G20," - ")</f>
        <v>4.124300111982083</v>
      </c>
      <c r="D20" s="807">
        <f>IF(ISNUMBER('Resol  Asuntos'!D20/NºAsuntos!G20),'Resol  Asuntos'!D20/NºAsuntos!G20," - ")</f>
        <v>0.27827547592385221</v>
      </c>
      <c r="E20" s="808">
        <f>IF(ISNUMBER((NºAsuntos!C20+NºAsuntos!E20)/NºAsuntos!G20),(NºAsuntos!C20+NºAsuntos!E20)/NºAsuntos!G20," - ")</f>
        <v>5.124300111982083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CQjLBExm4Y/SxQDi6a6YLKdLhGNaQKY79PiMx1ATFANFUr7Sdng0RIZ7Y6d3OBJrssDT2HXUhd1wNSRKXPspQ==" saltValue="9W/h8ZR7I66lwblPnKLQw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SAN FERNANDO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240</v>
      </c>
      <c r="Y12" s="333">
        <f t="shared" si="0"/>
        <v>240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5980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331</v>
      </c>
      <c r="AJ12" s="228" t="str">
        <f>IF(ISNUMBER(Datos!BW12),Datos!BW12," - ")</f>
        <v xml:space="preserve"> - </v>
      </c>
      <c r="AK12" s="227" t="str">
        <f>IF(ISNUMBER(Datos!BX12),Datos!BX12," - ")</f>
        <v xml:space="preserve"> - </v>
      </c>
      <c r="AL12" s="242">
        <f>IF(ISNUMBER(NºAsuntos!G12/NºAsuntos!E12),NºAsuntos!G12/NºAsuntos!E12," - ")</f>
        <v>1.0281329923273657</v>
      </c>
      <c r="AM12" s="259">
        <f>IF(ISNUMBER(((NºAsuntos!I12/NºAsuntos!G12)*11)/factor_trimestre),((NºAsuntos!I12/NºAsuntos!G12)*11)/factor_trimestre," - ")</f>
        <v>13.544776119402986</v>
      </c>
      <c r="AN12" s="243">
        <f>IF(ISNUMBER('Resol  Asuntos'!D12/NºAsuntos!G12),'Resol  Asuntos'!D12/NºAsuntos!G12," - ")</f>
        <v>0.2744610281923715</v>
      </c>
      <c r="AO12" s="244">
        <f>IF(ISNUMBER((NºAsuntos!C12+NºAsuntos!E12)/NºAsuntos!G12),(NºAsuntos!C12+NºAsuntos!E12)/NºAsuntos!G12," - ")</f>
        <v>5.5149253731343286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v>
      </c>
      <c r="G13" s="863">
        <f t="shared" si="3"/>
        <v>2</v>
      </c>
      <c r="H13" s="862">
        <f t="shared" si="3"/>
        <v>0</v>
      </c>
      <c r="I13" s="864">
        <f t="shared" si="3"/>
        <v>0</v>
      </c>
      <c r="J13" s="864">
        <f t="shared" si="3"/>
        <v>0</v>
      </c>
      <c r="K13" s="864">
        <f t="shared" si="3"/>
        <v>0</v>
      </c>
      <c r="L13" s="864">
        <f t="shared" si="3"/>
        <v>353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240</v>
      </c>
      <c r="Y13" s="865">
        <f t="shared" si="4"/>
        <v>240</v>
      </c>
      <c r="Z13" s="865">
        <f t="shared" si="4"/>
        <v>0</v>
      </c>
      <c r="AA13" s="865">
        <f t="shared" si="4"/>
        <v>2</v>
      </c>
      <c r="AB13" s="865">
        <f t="shared" si="4"/>
        <v>5980</v>
      </c>
      <c r="AC13" s="865">
        <f t="shared" si="4"/>
        <v>2</v>
      </c>
      <c r="AD13" s="865">
        <f t="shared" si="4"/>
        <v>0</v>
      </c>
      <c r="AE13" s="869">
        <f t="shared" si="4"/>
        <v>0</v>
      </c>
      <c r="AF13" s="862">
        <f t="shared" si="4"/>
        <v>0</v>
      </c>
      <c r="AG13" s="870">
        <f t="shared" si="4"/>
        <v>0</v>
      </c>
      <c r="AH13" s="867">
        <f t="shared" si="4"/>
        <v>0</v>
      </c>
      <c r="AI13" s="862">
        <f t="shared" si="4"/>
        <v>331</v>
      </c>
      <c r="AJ13" s="864">
        <f t="shared" si="4"/>
        <v>0</v>
      </c>
      <c r="AK13" s="867">
        <f>SUBTOTAL(9,AK9:AK12)</f>
        <v>0</v>
      </c>
      <c r="AL13" s="871">
        <f>IF(ISNUMBER(NºAsuntos!G13/NºAsuntos!E13),NºAsuntos!G13/NºAsuntos!E13," - ")</f>
        <v>1.0281329923273657</v>
      </c>
      <c r="AM13" s="871">
        <f>IF(ISNUMBER(((NºAsuntos!I13/NºAsuntos!G13)*11)/factor_trimestre),((NºAsuntos!I13/NºAsuntos!G13)*11)/factor_trimestre," - ")</f>
        <v>13.549751243781095</v>
      </c>
      <c r="AN13" s="872">
        <f>IF(ISNUMBER('Resol  Asuntos'!D13/NºAsuntos!G13),'Resol  Asuntos'!D13/NºAsuntos!G13," - ")</f>
        <v>0.2744610281923715</v>
      </c>
      <c r="AO13" s="873">
        <f>IF(ISNUMBER((NºAsuntos!C13+NºAsuntos!E13)/NºAsuntos!G13),(NºAsuntos!C13+NºAsuntos!E13)/NºAsuntos!G13," - ")</f>
        <v>5.5165837479270312</v>
      </c>
      <c r="AP13" s="874" t="str">
        <f t="shared" si="2"/>
        <v xml:space="preserve"> - </v>
      </c>
      <c r="AQ13" s="874">
        <f>IF(ISNUMBER((H13-W13+K13)/(F13)),(H13-W13+K13)/(F13)," - ")</f>
        <v>0</v>
      </c>
      <c r="AR13" s="875">
        <f>IF(ISNUMBER((Datos!P13-Datos!Q13)/(Datos!R13-Datos!P13+Datos!Q13)),(Datos!P13-Datos!Q13)/(Datos!R13-Datos!P13+Datos!Q13)," - ")</f>
        <v>1.9260269302880519E-2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1855</v>
      </c>
      <c r="G17" s="332">
        <f>IF(ISNUMBER(IF(D_I="SI",Datos!I17,Datos!I17+Datos!AC17)),IF(D_I="SI",Datos!I17,Datos!I17+Datos!AC17)," - ")</f>
        <v>1855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574</v>
      </c>
      <c r="X17" s="225">
        <f>IF(ISNUMBER(Datos!Q17),Datos!Q17," - ")</f>
        <v>37</v>
      </c>
      <c r="Y17" s="333">
        <f t="shared" ref="Y17:Y18" si="9">SUM(W17:X17)</f>
        <v>611</v>
      </c>
      <c r="Z17" s="334" t="str">
        <f>IF(ISNUMBER(Datos!CC17),Datos!CC17," - ")</f>
        <v xml:space="preserve"> - </v>
      </c>
      <c r="AA17" s="331">
        <f>IF(ISNUMBER(IF(D_I="SI",Datos!L17,Datos!L17+Datos!AF17)),IF(D_I="SI",Datos!L17,Datos!L17+Datos!AF17)," - ")</f>
        <v>1878</v>
      </c>
      <c r="AB17" s="333">
        <f>IF(ISNUMBER(Datos!R17),Datos!R17," - ")</f>
        <v>318</v>
      </c>
      <c r="AC17" s="333">
        <f t="shared" si="6"/>
        <v>2196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166</v>
      </c>
      <c r="AJ17" s="230" t="str">
        <f>IF(ISNUMBER(Datos!BW17),Datos!BW17," - ")</f>
        <v xml:space="preserve"> - </v>
      </c>
      <c r="AK17" s="231" t="str">
        <f>IF(ISNUMBER(Datos!BX17),Datos!BX17," - ")</f>
        <v xml:space="preserve"> - </v>
      </c>
      <c r="AL17" s="242">
        <f>IF(ISNUMBER(NºAsuntos!G17/NºAsuntos!E17),NºAsuntos!G17/NºAsuntos!E17," - ")</f>
        <v>0.96147403685092125</v>
      </c>
      <c r="AM17" s="259">
        <f>IF(ISNUMBER(((NºAsuntos!I17/NºAsuntos!G17)*11)/factor_trimestre),((NºAsuntos!I17/NºAsuntos!G17)*11)/factor_trimestre," - ")</f>
        <v>9.8153310104529634</v>
      </c>
      <c r="AN17" s="243">
        <f>IF(ISNUMBER('Resol  Asuntos'!D17/NºAsuntos!G17),'Resol  Asuntos'!D17/NºAsuntos!G17," - ")</f>
        <v>0.28919860627177701</v>
      </c>
      <c r="AO17" s="244">
        <f>IF(ISNUMBER((NºAsuntos!C17+NºAsuntos!E17)/NºAsuntos!G17),(NºAsuntos!C17+NºAsuntos!E17)/NºAsuntos!G17," - ")</f>
        <v>4.2717770034843205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41</v>
      </c>
      <c r="AB18" s="333">
        <f>IF(ISNUMBER(Datos!R18),Datos!R18," - ")</f>
        <v>0</v>
      </c>
      <c r="AC18" s="333">
        <f t="shared" si="6"/>
        <v>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20.5</v>
      </c>
      <c r="AN18" s="243">
        <f>IF(ISNUMBER('Resol  Asuntos'!D18/NºAsuntos!G18),'Resol  Asuntos'!D18/NºAsuntos!G18," - ")</f>
        <v>0</v>
      </c>
      <c r="AO18" s="244">
        <f>IF(ISNUMBER((NºAsuntos!C18+NºAsuntos!E18)/NºAsuntos!G18),(NºAsuntos!C18+NºAsuntos!E18)/NºAsuntos!G18," - ")</f>
        <v>7.833333333333333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1855</v>
      </c>
      <c r="G19" s="863">
        <f>SUBTOTAL(9,G15:G18)</f>
        <v>1902</v>
      </c>
      <c r="H19" s="862">
        <f t="shared" ref="H19:O19" si="12">SUBTOTAL(9,H14:H18)</f>
        <v>0</v>
      </c>
      <c r="I19" s="864">
        <f t="shared" si="12"/>
        <v>0</v>
      </c>
      <c r="J19" s="864">
        <f t="shared" si="12"/>
        <v>0</v>
      </c>
      <c r="K19" s="864">
        <f t="shared" si="12"/>
        <v>0</v>
      </c>
      <c r="L19" s="864">
        <f t="shared" si="12"/>
        <v>29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580</v>
      </c>
      <c r="X19" s="864">
        <f t="shared" si="13"/>
        <v>37</v>
      </c>
      <c r="Y19" s="865">
        <f t="shared" si="13"/>
        <v>617</v>
      </c>
      <c r="Z19" s="865">
        <f t="shared" si="13"/>
        <v>0</v>
      </c>
      <c r="AA19" s="865">
        <f t="shared" si="13"/>
        <v>1919</v>
      </c>
      <c r="AB19" s="865">
        <f t="shared" si="13"/>
        <v>318</v>
      </c>
      <c r="AC19" s="865">
        <f t="shared" si="13"/>
        <v>2237</v>
      </c>
      <c r="AD19" s="865">
        <f t="shared" si="13"/>
        <v>0</v>
      </c>
      <c r="AE19" s="869">
        <f t="shared" si="13"/>
        <v>0</v>
      </c>
      <c r="AF19" s="862">
        <f t="shared" si="13"/>
        <v>0</v>
      </c>
      <c r="AG19" s="870">
        <f t="shared" si="13"/>
        <v>0</v>
      </c>
      <c r="AH19" s="867">
        <f t="shared" si="13"/>
        <v>0</v>
      </c>
      <c r="AI19" s="862">
        <f t="shared" si="13"/>
        <v>166</v>
      </c>
      <c r="AJ19" s="864">
        <f t="shared" si="13"/>
        <v>0</v>
      </c>
      <c r="AK19" s="867">
        <f t="shared" si="13"/>
        <v>0</v>
      </c>
      <c r="AL19" s="871">
        <f>IF(ISNUMBER(NºAsuntos!G19/NºAsuntos!E19),NºAsuntos!G19/NºAsuntos!E19," - ")</f>
        <v>0.9715242881072027</v>
      </c>
      <c r="AM19" s="871">
        <f>IF(ISNUMBER(((NºAsuntos!I19/NºAsuntos!G19)*11)/factor_trimestre),((NºAsuntos!I19/NºAsuntos!G19)*11)/factor_trimestre," - ")</f>
        <v>9.9258620689655164</v>
      </c>
      <c r="AN19" s="872">
        <f>IF(ISNUMBER('Resol  Asuntos'!D19/NºAsuntos!G19),'Resol  Asuntos'!D19/NºAsuntos!G19," - ")</f>
        <v>0.28620689655172415</v>
      </c>
      <c r="AO19" s="873">
        <f>IF(ISNUMBER((NºAsuntos!C19+NºAsuntos!E19)/NºAsuntos!G19),(NºAsuntos!C19+NºAsuntos!E19)/NºAsuntos!G19," - ")</f>
        <v>4.3086206896551724</v>
      </c>
      <c r="AP19" s="874" t="str">
        <f t="shared" si="2"/>
        <v xml:space="preserve"> - </v>
      </c>
      <c r="AQ19" s="874">
        <f>IF(ISNUMBER((H19-W19+K19)/(F19)),(H19-W19+K19)/(F19)," - ")</f>
        <v>-0.31266846361185985</v>
      </c>
      <c r="AR19" s="875">
        <f>IF(ISNUMBER((Datos!P19-Datos!Q19)/(Datos!R19-Datos!P19+Datos!Q19)),(Datos!P19-Datos!Q19)/(Datos!R19-Datos!P19+Datos!Q19)," - ")</f>
        <v>-2.4539877300613498E-2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1857</v>
      </c>
      <c r="G20" s="818">
        <f t="shared" si="15"/>
        <v>1904</v>
      </c>
      <c r="H20" s="817">
        <f t="shared" si="15"/>
        <v>0</v>
      </c>
      <c r="I20" s="819">
        <f t="shared" si="15"/>
        <v>0</v>
      </c>
      <c r="J20" s="819">
        <f t="shared" si="15"/>
        <v>0</v>
      </c>
      <c r="K20" s="878">
        <f t="shared" si="15"/>
        <v>0</v>
      </c>
      <c r="L20" s="819">
        <f t="shared" si="15"/>
        <v>382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580</v>
      </c>
      <c r="X20" s="818">
        <f t="shared" si="16"/>
        <v>277</v>
      </c>
      <c r="Y20" s="825">
        <f t="shared" si="16"/>
        <v>857</v>
      </c>
      <c r="Z20" s="825">
        <f t="shared" si="16"/>
        <v>0</v>
      </c>
      <c r="AA20" s="825">
        <f t="shared" si="16"/>
        <v>1921</v>
      </c>
      <c r="AB20" s="825">
        <f t="shared" si="16"/>
        <v>6298</v>
      </c>
      <c r="AC20" s="825">
        <f t="shared" si="16"/>
        <v>2239</v>
      </c>
      <c r="AD20" s="825">
        <f t="shared" si="16"/>
        <v>0</v>
      </c>
      <c r="AE20" s="827">
        <f t="shared" si="16"/>
        <v>0</v>
      </c>
      <c r="AF20" s="828">
        <f t="shared" si="16"/>
        <v>0</v>
      </c>
      <c r="AG20" s="829">
        <f t="shared" si="16"/>
        <v>0</v>
      </c>
      <c r="AH20" s="827">
        <f t="shared" si="16"/>
        <v>0</v>
      </c>
      <c r="AI20" s="817">
        <f t="shared" si="16"/>
        <v>497</v>
      </c>
      <c r="AJ20" s="817">
        <f t="shared" si="16"/>
        <v>0</v>
      </c>
      <c r="AK20" s="827">
        <f t="shared" si="16"/>
        <v>0</v>
      </c>
      <c r="AL20" s="881">
        <f>IF(ISNUMBER(NºAsuntos!G20/NºAsuntos!E20),NºAsuntos!G20/NºAsuntos!E20," - ")</f>
        <v>1.0090395480225989</v>
      </c>
      <c r="AM20" s="882">
        <f>IF(ISNUMBER(((NºAsuntos!I20/NºAsuntos!G20)*11)/factor_trimestre),((NºAsuntos!I20/NºAsuntos!G20)*11)/factor_trimestre," - ")</f>
        <v>12.37290033594625</v>
      </c>
      <c r="AN20" s="882">
        <f>IF(ISNUMBER('Resol  Asuntos'!D20/NºAsuntos!G20),'Resol  Asuntos'!D20/NºAsuntos!G20," - ")</f>
        <v>0.27827547592385221</v>
      </c>
      <c r="AO20" s="883">
        <f>IF(ISNUMBER((NºAsuntos!C20+NºAsuntos!E20)/NºAsuntos!G20),(NºAsuntos!C20+NºAsuntos!E20)/NºAsuntos!G20," - ")</f>
        <v>5.124300111982083</v>
      </c>
      <c r="AP20" s="884" t="str">
        <f t="shared" si="2"/>
        <v xml:space="preserve"> - </v>
      </c>
      <c r="AQ20" s="885">
        <f>IF(OR(ISNUMBER(FIND("01",Criterios!A8,1)),ISNUMBER(FIND("02",Criterios!A8,1)),ISNUMBER(FIND("03",Criterios!A8,1)),ISNUMBER(FIND("04",Criterios!A8,1))),(I20-W20+K20)/(F20-K20),(H20-W20+K20)/(F20-K20))</f>
        <v>-0.31233171782444802</v>
      </c>
      <c r="AR20" s="886">
        <f>IF(ISNUMBER((Datos!P20-Datos!Q20)/(Datos!R20-Datos!P20+Datos!Q20)),(Datos!P20-Datos!Q20)/(Datos!R20-Datos!P20+Datos!Q20)," - ")</f>
        <v>1.6954626190860651E-2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761.6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1069.8300488083764</v>
      </c>
      <c r="G22" s="252">
        <f>IF(ISNUMBER(STDEV(G8:G19)),STDEV(G8:G19),"-")</f>
        <v>1019.8864152443643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314.95713994129426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148.02792529339411</v>
      </c>
      <c r="AJ22" s="251">
        <f t="shared" si="20"/>
        <v>0</v>
      </c>
      <c r="AK22" s="253">
        <f t="shared" si="20"/>
        <v>0</v>
      </c>
      <c r="AL22" s="248">
        <f t="shared" si="20"/>
        <v>3.5820072384659986E-2</v>
      </c>
      <c r="AM22" s="249">
        <f t="shared" si="20"/>
        <v>4.3402283939073962</v>
      </c>
      <c r="AN22" s="249">
        <f t="shared" si="20"/>
        <v>0.12588232741046454</v>
      </c>
      <c r="AO22" s="250">
        <f t="shared" si="20"/>
        <v>1.446742797969131</v>
      </c>
      <c r="AP22" s="290" t="str">
        <f t="shared" si="20"/>
        <v>-</v>
      </c>
      <c r="AQ22" s="291">
        <f t="shared" si="20"/>
        <v>0.22108999088312539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JdgiHrtvSFpBXjMyipBC3wATbpiAPjsLGYCTi5zOrs1FKIg4rpLH6WlNWFYxJ2I1aa0IWubcT6GhAzmtX2eFw==" saltValue="mscDwaNvEIwcRzD7/APaD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SAN FERNANDO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v>
      </c>
      <c r="E10" s="347" t="str">
        <f>IF(ISNUMBER((Datos!J10-Datos!T10)/Datos!T10),(Datos!J10-Datos!T10)/Datos!T10," - ")</f>
        <v xml:space="preserve"> - </v>
      </c>
      <c r="F10" s="347">
        <f>IF(ISNUMBER((Datos!K10-Datos!U10)/Datos!U10),(Datos!K10-Datos!U10)/Datos!U10," - ")</f>
        <v>-1</v>
      </c>
      <c r="G10" s="348">
        <f>IF(ISNUMBER((Datos!L10-Datos!V10)/Datos!V10),(Datos!L10-Datos!V10)/Datos!V10," - ")</f>
        <v>-0.5</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-0.34194831013916499</v>
      </c>
      <c r="I12" s="349">
        <f>IF(ISNUMBER((Tasas!C12-Datos!BE12)/Datos!BE12),(Tasas!C12-Datos!BE12)/Datos!BE12," - ")</f>
        <v>0.10339822086574603</v>
      </c>
      <c r="J12" s="348">
        <f>IF(ISNUMBER((Tasas!D12-Datos!BF12)/Datos!BF12),(Tasas!D12-Datos!BF12)/Datos!BF12," - ")</f>
        <v>-0.17239443806607974</v>
      </c>
      <c r="K12" s="350">
        <f>IF(ISNUMBER((Tasas!E12-Datos!BG12)/Datos!BG12),(Tasas!E12-Datos!BG12)/Datos!BG12," - ")</f>
        <v>8.3091556246821963E-2</v>
      </c>
      <c r="M12" t="e">
        <f>IF(Monitorios="SI",Datos!CE12,0)</f>
        <v>#REF!</v>
      </c>
      <c r="N12" t="e">
        <f>IF(Monitorios="SI",Datos!CF12,0)</f>
        <v>#REF!</v>
      </c>
      <c r="O12" t="e">
        <f>IF(Monitorios="SI",Datos!CG12,0)</f>
        <v>#REF!</v>
      </c>
      <c r="P12" t="e">
        <f>IF(Monitorios="SI",Datos!CH12,0)</f>
        <v>#REF!</v>
      </c>
      <c r="Q12">
        <f>IF(J_V="SI",0,Datos!AG12)</f>
        <v>255</v>
      </c>
      <c r="R12">
        <f>IF(J_V="SI",0,Datos!AH12)</f>
        <v>127</v>
      </c>
      <c r="S12">
        <f>IF(J_V="SI",0,Datos!AI12)</f>
        <v>101</v>
      </c>
      <c r="T12">
        <f>IF(J_V="SI",0,Datos!AJ12)</f>
        <v>281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-0.34325396825396826</v>
      </c>
      <c r="I13" s="356">
        <f>IF(ISNUMBER((Tasas!C13-Datos!BE13)/Datos!BE13),(Tasas!C13-Datos!BE13)/Datos!BE13," - ")</f>
        <v>0.10381929914291461</v>
      </c>
      <c r="J13" s="354">
        <f>IF(ISNUMBER((Tasas!D13-Datos!BF13)/Datos!BF13),(Tasas!D13-Datos!BF13)/Datos!BF13," - ")</f>
        <v>-0.17345613582757985</v>
      </c>
      <c r="K13" s="357">
        <f>IF(ISNUMBER((Tasas!E13-Datos!BG13)/Datos!BG13),(Tasas!E13-Datos!BG13)/Datos!BG13," - ")</f>
        <v>8.342970340436999E-2</v>
      </c>
      <c r="M13" t="e">
        <f>IF(Monitorios="SI",Datos!CE13,0)</f>
        <v>#REF!</v>
      </c>
      <c r="N13" t="e">
        <f>IF(Monitorios="SI",Datos!CF13,0)</f>
        <v>#REF!</v>
      </c>
      <c r="O13" t="e">
        <f>IF(Monitorios="SI",Datos!CG13,0)</f>
        <v>#REF!</v>
      </c>
      <c r="P13" t="e">
        <f>IF(Monitorios="SI",Datos!CH13,0)</f>
        <v>#REF!</v>
      </c>
      <c r="Q13">
        <f>IF(J_V="SI",0,Datos!AG13)</f>
        <v>255</v>
      </c>
      <c r="R13">
        <f>IF(J_V="SI",0,Datos!AH13)</f>
        <v>127</v>
      </c>
      <c r="S13">
        <f>IF(J_V="SI",0,Datos!AI13)</f>
        <v>101</v>
      </c>
      <c r="T13">
        <f>IF(J_V="SI",0,Datos!AJ13)</f>
        <v>281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2.0913593835993397E-2</v>
      </c>
      <c r="E17" s="347">
        <f>IF(ISNUMBER(
   IF(D_I="SI",(Datos!J17-Datos!T17)/Datos!T17,(Datos!J17+Datos!AD17-(Datos!T17+Datos!AL17))/(Datos!T17+Datos!AL17))
     ),IF(D_I="SI",(Datos!J17-Datos!T17)/Datos!T17,(Datos!J17+Datos!AD17-(Datos!T17+Datos!AL17))/(Datos!T17+Datos!AL17))," - ")</f>
        <v>-0.39757820383451059</v>
      </c>
      <c r="F17" s="347">
        <f>IF(ISNUMBER(
   IF(D_I="SI",(Datos!K17-Datos!U17)/Datos!U17,(Datos!K17+Datos!AE17-(Datos!U17+Datos!AM17))/(Datos!U17+Datos!AM17))
     ),IF(D_I="SI",(Datos!K17-Datos!U17)/Datos!U17,(Datos!K17+Datos!AE17-(Datos!U17+Datos!AM17))/(Datos!U17+Datos!AM17))," - ")</f>
        <v>-0.32549941245593422</v>
      </c>
      <c r="G17" s="348">
        <f>IF(ISNUMBER(
   IF(D_I="SI",(Datos!L17-Datos!V17)/Datos!V17,(Datos!L17+Datos!AF17-(Datos!V17+Datos!AN17))/(Datos!V17+Datos!AN17))
     ),IF(D_I="SI",(Datos!L17-Datos!V17)/Datos!V17,(Datos!L17+Datos!AF17-(Datos!V17+Datos!AN17))/(Datos!V17+Datos!AN17))," - ")</f>
        <v>-4.0367910066428203E-2</v>
      </c>
      <c r="H17" s="229">
        <f>IF(ISNUMBER((Datos!M17-Datos!W17)/Datos!W17),(Datos!M17-Datos!W17)/Datos!W17," - ")</f>
        <v>-0.21698113207547171</v>
      </c>
      <c r="I17" s="349">
        <f>IF(ISNUMBER((Tasas!C17-Datos!BE17)/Datos!BE17),(Tasas!C17-Datos!BE17)/Datos!BE17," - ")</f>
        <v>0.42272980580743819</v>
      </c>
      <c r="J17" s="348">
        <f>IF(ISNUMBER((Tasas!D17-Datos!BF17)/Datos!BF17),(Tasas!D17-Datos!BF17)/Datos!BF17," - ")</f>
        <v>0.16088685819472751</v>
      </c>
      <c r="K17" s="350">
        <f>IF(ISNUMBER((Tasas!E17-Datos!BG17)/Datos!BG17),(Tasas!E17-Datos!BG17)/Datos!BG17," - ")</f>
        <v>0.29461617876252016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0.34285714285714286</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-0.49382716049382713</v>
      </c>
      <c r="H18" s="229" t="str">
        <f>IF(ISNUMBER((Datos!M18-Datos!W18)/Datos!W18),(Datos!M18-Datos!W18)/Datos!W18," - ")</f>
        <v xml:space="preserve"> - </v>
      </c>
      <c r="I18" s="349">
        <f>IF(ISNUMBER((Tasas!C18-Datos!BE18)/Datos!BE18),(Tasas!C18-Datos!BE18)/Datos!BE18," - ")</f>
        <v>-0.74691358024691368</v>
      </c>
      <c r="J18" s="348" t="str">
        <f>IF(ISNUMBER((Tasas!D18-Datos!BF18)/Datos!BF18),(Tasas!D18-Datos!BF18)/Datos!BF18," - ")</f>
        <v xml:space="preserve"> - </v>
      </c>
      <c r="K18" s="350">
        <f>IF(ISNUMBER((Tasas!E18-Datos!BG18)/Datos!BG18),(Tasas!E18-Datos!BG18)/Datos!BG18," - ")</f>
        <v>-0.32857142857142857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2.6997840172786176E-2</v>
      </c>
      <c r="E19" s="353">
        <f>IF(ISNUMBER(
   IF(D_I="SI",(Datos!J19-Datos!T19)/Datos!T19,(Datos!J19+Datos!AD19-(Datos!T19+Datos!AL19))/(Datos!T19+Datos!AL19))
     ),IF(D_I="SI",(Datos!J19-Datos!T19)/Datos!T19,(Datos!J19+Datos!AD19-(Datos!T19+Datos!AL19))/(Datos!T19+Datos!AL19))," - ")</f>
        <v>-0.39757820383451059</v>
      </c>
      <c r="F19" s="353">
        <f>IF(ISNUMBER(
   IF(D_I="SI",(Datos!K19-Datos!U19)/Datos!U19,(Datos!K19+Datos!AE19-(Datos!U19+Datos!AM19))/(Datos!U19+Datos!AM19))
     ),IF(D_I="SI",(Datos!K19-Datos!U19)/Datos!U19,(Datos!K19+Datos!AE19-(Datos!U19+Datos!AM19))/(Datos!U19+Datos!AM19))," - ")</f>
        <v>-0.32084309133489464</v>
      </c>
      <c r="G19" s="354">
        <f>IF(ISNUMBER(
   IF(D_I="SI",(Datos!L19-Datos!V19)/Datos!V19,(Datos!L19+Datos!AF19-(Datos!V19+Datos!AN19))/(Datos!V19+Datos!AN19))
     ),IF(D_I="SI",(Datos!L19-Datos!V19)/Datos!V19,(Datos!L19+Datos!AF19-(Datos!V19+Datos!AN19))/(Datos!V19+Datos!AN19))," - ")</f>
        <v>-5.8390578999018644E-2</v>
      </c>
      <c r="H19" s="355">
        <f>IF(ISNUMBER((Datos!M19-Datos!W19)/Datos!W19),(Datos!M19-Datos!W19)/Datos!W19," - ")</f>
        <v>-0.21698113207547171</v>
      </c>
      <c r="I19" s="356">
        <f>IF(ISNUMBER((Tasas!C19-Datos!BE19)/Datos!BE19),(Tasas!C19-Datos!BE19)/Datos!BE19," - ")</f>
        <v>0.38643869919799656</v>
      </c>
      <c r="J19" s="354">
        <f>IF(ISNUMBER((Tasas!D19-Datos!BF19)/Datos!BF19),(Tasas!D19-Datos!BF19)/Datos!BF19," - ")</f>
        <v>0.15292778139232277</v>
      </c>
      <c r="K19" s="357">
        <f>IF(ISNUMBER((Tasas!E19-Datos!BG19)/Datos!BG19),(Tasas!E19-Datos!BG19)/Datos!BG19," - ")</f>
        <v>0.29425327786335465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-0.14332134153417664</v>
      </c>
      <c r="E20" s="362">
        <f>IF(ISNUMBER(
   IF(J_V="SI",(Datos!J20-Datos!T20)/Datos!T20,(Datos!J20+Datos!Z20-(Datos!T20+Datos!AH20))/(Datos!T20+Datos!AH20))
     ),IF(J_V="SI",(Datos!J20-Datos!T20)/Datos!T20,(Datos!J20+Datos!Z20-(Datos!T20+Datos!AH20))/(Datos!T20+Datos!AH20))," - ")</f>
        <v>-0.20090293453724606</v>
      </c>
      <c r="F20" s="362">
        <f>IF(ISNUMBER(
   IF(J_V="SI",(Datos!K20-Datos!U20)/Datos!U20,(Datos!K20+Datos!AA20-(Datos!U20+Datos!AI20))/(Datos!U20+Datos!AI20))
     ),IF(J_V="SI",(Datos!K20-Datos!U20)/Datos!U20,(Datos!K20+Datos!AA20-(Datos!U20+Datos!AI20))/(Datos!U20+Datos!AI20))," - ")</f>
        <v>-0.26289723483285182</v>
      </c>
      <c r="G20" s="363">
        <f>IF(ISNUMBER(
   IF(J_V="SI",(Datos!L20-Datos!V20)/Datos!V20,(Datos!L20+Datos!AB20-(Datos!V20+Datos!AJ20))/(Datos!V20+Datos!AJ20))
     ),IF(J_V="SI",(Datos!L20-Datos!V20)/Datos!V20,(Datos!L20+Datos!AB20-(Datos!V20+Datos!AJ20))/(Datos!V20+Datos!AJ20))," - ")</f>
        <v>-0.12910853629699692</v>
      </c>
      <c r="H20" s="364">
        <f>IF(ISNUMBER((Datos!M20-Datos!W20)/Datos!W20),(Datos!M20-Datos!W20)/Datos!W20," - ")</f>
        <v>-0.30586592178770949</v>
      </c>
      <c r="I20" s="361">
        <f>IF(ISNUMBER((Tasas!C20-Datos!BE20)/Datos!BE20),(Tasas!C20-Datos!BE20)/Datos!BE20," - ")</f>
        <v>0.18150616828240568</v>
      </c>
      <c r="J20" s="362">
        <f>IF(ISNUMBER((Tasas!D20-Datos!BF20)/Datos!BF20),(Tasas!D20-Datos!BF20)/Datos!BF20," - ")</f>
        <v>-8.0134409053896391E-2</v>
      </c>
      <c r="K20" s="363">
        <f>IF(ISNUMBER((Tasas!E20-Datos!BG20)/Datos!BG20),(Tasas!E20-Datos!BG20)/Datos!BG20," - ")</f>
        <v>0.14624992349820778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0.39487248367146649</v>
      </c>
      <c r="E22" s="277">
        <f t="shared" si="1"/>
        <v>0</v>
      </c>
      <c r="F22" s="277">
        <f t="shared" si="1"/>
        <v>0.83754611787746569</v>
      </c>
      <c r="G22" s="278">
        <f t="shared" si="1"/>
        <v>0.25850109085176204</v>
      </c>
      <c r="H22" s="284">
        <f t="shared" si="1"/>
        <v>0.32815464540648526</v>
      </c>
      <c r="I22" s="276">
        <f t="shared" si="1"/>
        <v>0.47245682674929784</v>
      </c>
      <c r="J22" s="277">
        <f t="shared" si="1"/>
        <v>0.19045715661882184</v>
      </c>
      <c r="K22" s="278">
        <f t="shared" si="1"/>
        <v>0.25434850562445688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cvZzN1mxzlhKm3W91+cgETUAJRPhdYtbxmrwRyA8XoEuoj2UFpotTDxVux3zVc+f3WPzsKG7d0yaAf3irIdzw==" saltValue="H0qL29KPxMXBRAX3EoTK3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49.664179104477611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1855</v>
      </c>
      <c r="D17" s="224">
        <f>IF(ISNUMBER(IF(D_I="SI",Datos!I17,Datos!I17+Datos!AC17)),IF(D_I="SI",Datos!I17,Datos!I17+Datos!AC17)," - ")</f>
        <v>1855</v>
      </c>
      <c r="E17" s="225">
        <f>IF(ISNUMBER(IF(D_I="SI",Datos!J17,Datos!J17+Datos!AD17)),IF(D_I="SI",Datos!J17,Datos!J17+Datos!AD17)," - ")</f>
        <v>597</v>
      </c>
      <c r="F17" s="225">
        <f>IF(ISNUMBER(IF(D_I="SI",Datos!K17,Datos!K17+Datos!AE17)),IF(D_I="SI",Datos!K17,Datos!K17+Datos!AE17)," - ")</f>
        <v>574</v>
      </c>
      <c r="G17" s="1029" t="str">
        <f>IF(Datos!E17&lt;&gt;"",Datos!E17,Datos!D17)</f>
        <v>04</v>
      </c>
      <c r="H17" s="226">
        <f>IF(ISNUMBER(IF(D_I="SI",Datos!L17,Datos!L17+Datos!AF17)),IF(D_I="SI",Datos!L17,Datos!L17+Datos!AF17)," - ")</f>
        <v>1878</v>
      </c>
      <c r="I17" s="1039" t="str">
        <f>IF(ISNUMBER(Datos!AS17/Datos!BM17),Datos!AS17/Datos!BM17," - ")</f>
        <v xml:space="preserve"> - </v>
      </c>
      <c r="J17" s="1040">
        <f>IF(ISNUMBER(Datos!BY17/Datos!CN17),Datos!BY17/Datos!CN17," - ")</f>
        <v>0</v>
      </c>
      <c r="K17" s="229">
        <f t="shared" si="3"/>
        <v>1.2398921832884097E-2</v>
      </c>
      <c r="L17" s="1020">
        <f>IF(ISNUMBER(NºAsuntos!I17/NºAsuntos!G17),(NºAsuntos!I17/NºAsuntos!G17)*11," - ")</f>
        <v>35.98954703832753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47</v>
      </c>
      <c r="D18" s="224">
        <f>IF(ISNUMBER(IF(D_I="SI",Datos!I18,Datos!I18+Datos!AC18)),IF(D_I="SI",Datos!I18,Datos!I18+Datos!AC18)," - ")</f>
        <v>47</v>
      </c>
      <c r="E18" s="225">
        <f>IF(ISNUMBER(IF(D_I="SI",Datos!J18,Datos!J18+Datos!AD18)),IF(D_I="SI",Datos!J18,Datos!J18+Datos!AD18)," - ")</f>
        <v>0</v>
      </c>
      <c r="F18" s="225">
        <f>IF(ISNUMBER(IF(D_I="SI",Datos!K18,Datos!K18+Datos!AE18)),IF(D_I="SI",Datos!K18,Datos!K18+Datos!AE18)," - ")</f>
        <v>6</v>
      </c>
      <c r="G18" s="1029" t="str">
        <f>IF(Datos!E18&lt;&gt;"",Datos!E18,Datos!D18)</f>
        <v>37</v>
      </c>
      <c r="H18" s="226">
        <f>IF(ISNUMBER(IF(D_I="SI",Datos!L18,Datos!L18+Datos!AF18)),IF(D_I="SI",Datos!L18,Datos!L18+Datos!AF18)," - ")</f>
        <v>41</v>
      </c>
      <c r="I18" s="1039" t="str">
        <f>IF(ISNUMBER(Datos!AS18/Datos!BM18),Datos!AS18/Datos!BM18," - ")</f>
        <v xml:space="preserve"> - </v>
      </c>
      <c r="J18" s="1040" t="str">
        <f>IF(ISNUMBER((Datos!BY18+Datos!BZ18)/Datos!CN18),(Datos!BY18+Datos!BZ18)/Datos!CN18," - ")</f>
        <v xml:space="preserve"> - </v>
      </c>
      <c r="K18" s="229">
        <f t="shared" si="3"/>
        <v>-0.1276595744680851</v>
      </c>
      <c r="L18" s="1020">
        <f>IF(ISNUMBER(NºAsuntos!I18/NºAsuntos!G18),(NºAsuntos!I18/NºAsuntos!G18)*11," - ")</f>
        <v>75.166666666666657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1902</v>
      </c>
      <c r="D19" s="1044">
        <f>SUBTOTAL(9,D15:D18)</f>
        <v>1902</v>
      </c>
      <c r="E19" s="1045">
        <f>SUBTOTAL(9,E15:E18)</f>
        <v>597</v>
      </c>
      <c r="F19" s="1045">
        <f>SUBTOTAL(9,F15:F18)</f>
        <v>580</v>
      </c>
      <c r="G19" s="1047" t="str">
        <f ca="1">INDIRECT(CONCATENATE("G",ROW()-1))</f>
        <v>37</v>
      </c>
      <c r="H19" s="1048">
        <f ca="1">SUMIF(G$14:G18,G19,H$14:H18)</f>
        <v>41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1904</v>
      </c>
      <c r="D20" s="1066">
        <f>SUBTOTAL(9,D9:D19)</f>
        <v>1904</v>
      </c>
      <c r="E20" s="1067">
        <f>SUBTOTAL(9,E9:E19)</f>
        <v>597</v>
      </c>
      <c r="F20" s="1067">
        <f>SUBTOTAL(9,F9:F19)</f>
        <v>580</v>
      </c>
      <c r="G20" s="1068"/>
      <c r="H20" s="1069">
        <f ca="1">SUMIF(B9:B19,"TOTAL",H9:H19)</f>
        <v>41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NJQ2UN3zQXVcYHAIwnStuBo080eftHgpZMtYs3cLTVBxapOEK/EF8nWCa14Ls0if2AOhU2CvfTumAVAVoAu+A==" saltValue="izcbbwb8jcn0XVkAFDlE6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L6/q3+4CEWU0OcgXH4ozgi5NsESgeks8wwTubJ+Uk8g+7IOBfQWq5GjZ4R8g8uu02Hxjx4CCoQYGckmJGxOKQ==" saltValue="cPZ63IgUC68GhVoWGAdcB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0</v>
      </c>
      <c r="L10" s="180">
        <v>2</v>
      </c>
      <c r="M10" s="180">
        <v>0</v>
      </c>
      <c r="N10" s="180">
        <v>0</v>
      </c>
      <c r="O10" s="180">
        <v>0</v>
      </c>
      <c r="P10" s="180">
        <v>0</v>
      </c>
      <c r="Q10" s="180">
        <v>0</v>
      </c>
      <c r="R10" s="180">
        <v>0</v>
      </c>
      <c r="S10" s="180">
        <v>5</v>
      </c>
      <c r="T10" s="180">
        <v>0</v>
      </c>
      <c r="U10" s="180">
        <v>1</v>
      </c>
      <c r="V10" s="180">
        <v>4</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0</v>
      </c>
      <c r="BA10" s="129">
        <f t="shared" si="0"/>
        <v>1</v>
      </c>
      <c r="BB10" s="129">
        <f t="shared" si="0"/>
        <v>4</v>
      </c>
      <c r="BC10" s="125">
        <f t="shared" si="0"/>
        <v>1</v>
      </c>
      <c r="BD10" s="126" t="str">
        <f>IF(ISNUMBER(BA10/AZ10),BA10/AZ10," - ")</f>
        <v xml:space="preserve"> - </v>
      </c>
      <c r="BE10" s="127">
        <f>IF(ISNUMBER(BB10/BA10),BB10/BA10, " - ")</f>
        <v>4</v>
      </c>
      <c r="BF10" s="127">
        <f>IF(ISNUMBER(BC10/BA10),BC10/BA10, " - ")</f>
        <v>1</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5271</v>
      </c>
      <c r="J12" s="182">
        <v>1081</v>
      </c>
      <c r="K12" s="182">
        <v>1123</v>
      </c>
      <c r="L12" s="182">
        <v>5229</v>
      </c>
      <c r="M12" s="182">
        <v>331</v>
      </c>
      <c r="N12" s="182">
        <v>340</v>
      </c>
      <c r="O12" s="180">
        <v>730</v>
      </c>
      <c r="P12" s="182">
        <v>353</v>
      </c>
      <c r="Q12" s="182">
        <v>240</v>
      </c>
      <c r="R12" s="182">
        <v>5980</v>
      </c>
      <c r="S12" s="182">
        <v>6505</v>
      </c>
      <c r="T12" s="182">
        <v>1097</v>
      </c>
      <c r="U12" s="182">
        <v>1467</v>
      </c>
      <c r="V12" s="182">
        <v>6135</v>
      </c>
      <c r="W12" s="182">
        <v>503</v>
      </c>
      <c r="X12" s="188">
        <v>520</v>
      </c>
      <c r="Y12" s="190">
        <v>207</v>
      </c>
      <c r="Z12" s="180">
        <v>92</v>
      </c>
      <c r="AA12" s="180">
        <v>83</v>
      </c>
      <c r="AB12" s="180">
        <v>216</v>
      </c>
      <c r="AC12" s="182">
        <v>0</v>
      </c>
      <c r="AD12" s="182">
        <v>0</v>
      </c>
      <c r="AE12" s="182">
        <v>0</v>
      </c>
      <c r="AF12" s="188">
        <v>0</v>
      </c>
      <c r="AG12" s="201">
        <v>255</v>
      </c>
      <c r="AH12" s="182">
        <v>127</v>
      </c>
      <c r="AI12" s="182">
        <v>101</v>
      </c>
      <c r="AJ12" s="202">
        <v>281</v>
      </c>
      <c r="AK12" s="181">
        <v>0</v>
      </c>
      <c r="AL12" s="182">
        <v>0</v>
      </c>
      <c r="AM12" s="182">
        <v>0</v>
      </c>
      <c r="AN12" s="188">
        <v>0</v>
      </c>
      <c r="AO12" s="258">
        <v>4</v>
      </c>
      <c r="AP12" s="154">
        <v>4</v>
      </c>
      <c r="AQ12" s="154">
        <v>4</v>
      </c>
      <c r="AR12" s="153">
        <v>4</v>
      </c>
      <c r="AS12" s="339" t="s">
        <v>766</v>
      </c>
      <c r="AT12" s="202"/>
      <c r="AU12" s="201"/>
      <c r="AV12" s="202"/>
      <c r="AW12" s="201"/>
      <c r="AX12" s="202"/>
      <c r="AY12" s="126">
        <f t="shared" si="1"/>
        <v>6760</v>
      </c>
      <c r="AZ12" s="127">
        <f t="shared" si="1"/>
        <v>1224</v>
      </c>
      <c r="BA12" s="127">
        <f t="shared" si="1"/>
        <v>1568</v>
      </c>
      <c r="BB12" s="127">
        <f t="shared" si="1"/>
        <v>6416</v>
      </c>
      <c r="BC12" s="125">
        <f>IF(ISNUMBER(X12),X12," - ")</f>
        <v>520</v>
      </c>
      <c r="BD12" s="126">
        <f t="shared" si="2"/>
        <v>1.2810457516339868</v>
      </c>
      <c r="BE12" s="127">
        <f t="shared" si="3"/>
        <v>4.091836734693878</v>
      </c>
      <c r="BF12" s="127">
        <f t="shared" si="4"/>
        <v>0.33163265306122447</v>
      </c>
      <c r="BG12" s="195">
        <f t="shared" si="5"/>
        <v>5.091836734693878</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5273</v>
      </c>
      <c r="J13" s="183">
        <f t="shared" si="6"/>
        <v>1081</v>
      </c>
      <c r="K13" s="183">
        <f t="shared" si="6"/>
        <v>1123</v>
      </c>
      <c r="L13" s="183">
        <f t="shared" si="6"/>
        <v>5231</v>
      </c>
      <c r="M13" s="183">
        <f t="shared" si="6"/>
        <v>331</v>
      </c>
      <c r="N13" s="183">
        <f t="shared" si="6"/>
        <v>340</v>
      </c>
      <c r="O13" s="183">
        <f t="shared" si="6"/>
        <v>730</v>
      </c>
      <c r="P13" s="183">
        <f t="shared" si="6"/>
        <v>353</v>
      </c>
      <c r="Q13" s="183">
        <f t="shared" si="6"/>
        <v>240</v>
      </c>
      <c r="R13" s="183">
        <f t="shared" si="6"/>
        <v>5980</v>
      </c>
      <c r="S13" s="183">
        <f t="shared" si="6"/>
        <v>6510</v>
      </c>
      <c r="T13" s="183">
        <f t="shared" si="6"/>
        <v>1097</v>
      </c>
      <c r="U13" s="183">
        <f t="shared" si="6"/>
        <v>1468</v>
      </c>
      <c r="V13" s="183">
        <f t="shared" si="6"/>
        <v>6139</v>
      </c>
      <c r="W13" s="183">
        <f t="shared" si="6"/>
        <v>504</v>
      </c>
      <c r="X13" s="183">
        <f t="shared" si="6"/>
        <v>520</v>
      </c>
      <c r="Y13" s="183">
        <f t="shared" si="6"/>
        <v>207</v>
      </c>
      <c r="Z13" s="183">
        <f t="shared" si="6"/>
        <v>92</v>
      </c>
      <c r="AA13" s="183">
        <f t="shared" si="6"/>
        <v>83</v>
      </c>
      <c r="AB13" s="183">
        <f t="shared" si="6"/>
        <v>216</v>
      </c>
      <c r="AC13" s="183">
        <f t="shared" si="6"/>
        <v>0</v>
      </c>
      <c r="AD13" s="183">
        <f t="shared" si="6"/>
        <v>0</v>
      </c>
      <c r="AE13" s="183">
        <f t="shared" si="6"/>
        <v>0</v>
      </c>
      <c r="AF13" s="183">
        <f>SUBTOTAL(9,AF9:AF12)</f>
        <v>0</v>
      </c>
      <c r="AG13" s="183">
        <f t="shared" ref="AG13:AT13" si="7">SUBTOTAL(9,AG8:AG12)</f>
        <v>255</v>
      </c>
      <c r="AH13" s="183">
        <f t="shared" si="7"/>
        <v>127</v>
      </c>
      <c r="AI13" s="183">
        <f t="shared" si="7"/>
        <v>101</v>
      </c>
      <c r="AJ13" s="183">
        <f t="shared" si="7"/>
        <v>281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6765</v>
      </c>
      <c r="AZ13" s="183">
        <f>SUBTOTAL(9,AZ8:AZ12)</f>
        <v>1224</v>
      </c>
      <c r="BA13" s="183">
        <f>SUBTOTAL(9,BA8:BA12)</f>
        <v>1569</v>
      </c>
      <c r="BB13" s="183">
        <f>SUBTOTAL(9,BB8:BB12)</f>
        <v>6420</v>
      </c>
      <c r="BC13" s="183">
        <f>SUBTOTAL(9,BC8:BC12)</f>
        <v>521</v>
      </c>
      <c r="BD13" s="204">
        <f>IF(ISNUMBER(BA13/AZ13),BA13/AZ13," - ")</f>
        <v>1.2818627450980393</v>
      </c>
      <c r="BE13" s="205">
        <f>IF(ISNUMBER(BB13/BA13),BB13/BA13, " - ")</f>
        <v>4.0917782026768643</v>
      </c>
      <c r="BF13" s="205">
        <f>IF(ISNUMBER(BC13/BA13),BC13/BA13, " - ")</f>
        <v>0.33205863607393243</v>
      </c>
      <c r="BG13" s="206">
        <f>IF(ISNUMBER((AY13+AZ13)/BA13),(AY13+AZ13)/BA13," - ")</f>
        <v>5.0917782026768643</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1855</v>
      </c>
      <c r="J17" s="182">
        <v>597</v>
      </c>
      <c r="K17" s="182">
        <v>574</v>
      </c>
      <c r="L17" s="182">
        <v>1878</v>
      </c>
      <c r="M17" s="182">
        <v>166</v>
      </c>
      <c r="N17" s="182">
        <v>268</v>
      </c>
      <c r="O17" s="180">
        <v>5</v>
      </c>
      <c r="P17" s="182">
        <v>29</v>
      </c>
      <c r="Q17" s="182">
        <v>37</v>
      </c>
      <c r="R17" s="182">
        <v>318</v>
      </c>
      <c r="S17" s="182">
        <v>1817</v>
      </c>
      <c r="T17" s="182">
        <v>991</v>
      </c>
      <c r="U17" s="182">
        <v>851</v>
      </c>
      <c r="V17" s="182">
        <v>1957</v>
      </c>
      <c r="W17" s="182">
        <v>212</v>
      </c>
      <c r="X17" s="188">
        <v>438</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2</v>
      </c>
      <c r="AN17" s="188">
        <v>0</v>
      </c>
      <c r="AO17" s="258">
        <v>4</v>
      </c>
      <c r="AP17" s="154">
        <v>4</v>
      </c>
      <c r="AQ17" s="154">
        <v>4</v>
      </c>
      <c r="AR17" s="154">
        <v>4</v>
      </c>
      <c r="AS17" s="339" t="s">
        <v>486</v>
      </c>
      <c r="AT17" s="202"/>
      <c r="AU17" s="201"/>
      <c r="AV17" s="202"/>
      <c r="AW17" s="201"/>
      <c r="AX17" s="202"/>
      <c r="AY17" s="126">
        <f t="shared" si="9"/>
        <v>1817</v>
      </c>
      <c r="AZ17" s="127">
        <f t="shared" si="9"/>
        <v>991</v>
      </c>
      <c r="BA17" s="127">
        <f t="shared" si="9"/>
        <v>851</v>
      </c>
      <c r="BB17" s="127">
        <f t="shared" si="9"/>
        <v>1957</v>
      </c>
      <c r="BC17" s="125">
        <f>IF(ISNUMBER(W17),W17," - ")</f>
        <v>212</v>
      </c>
      <c r="BD17" s="126">
        <f t="shared" ref="BD17" si="16">IF(ISNUMBER(BA17/AZ17),BA17/AZ17," - ")</f>
        <v>0.85872855701311801</v>
      </c>
      <c r="BE17" s="127">
        <f t="shared" ref="BE17" si="17">IF(ISNUMBER(BB17/BA17),BB17/BA17, " - ")</f>
        <v>2.2996474735605172</v>
      </c>
      <c r="BF17" s="127">
        <f t="shared" ref="BF17" si="18">IF(ISNUMBER(BC17/BA17),BC17/BA17, " - ")</f>
        <v>0.2491186839012926</v>
      </c>
      <c r="BG17" s="195">
        <f t="shared" si="10"/>
        <v>3.2996474735605172</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47</v>
      </c>
      <c r="J18" s="182">
        <v>0</v>
      </c>
      <c r="K18" s="182">
        <v>6</v>
      </c>
      <c r="L18" s="182">
        <v>41</v>
      </c>
      <c r="M18" s="182">
        <v>0</v>
      </c>
      <c r="N18" s="182">
        <v>4</v>
      </c>
      <c r="O18" s="182">
        <v>0</v>
      </c>
      <c r="P18" s="182">
        <v>0</v>
      </c>
      <c r="Q18" s="182">
        <v>0</v>
      </c>
      <c r="R18" s="182">
        <v>0</v>
      </c>
      <c r="S18" s="182">
        <v>35</v>
      </c>
      <c r="T18" s="182">
        <v>0</v>
      </c>
      <c r="U18" s="182">
        <v>3</v>
      </c>
      <c r="V18" s="182">
        <v>81</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35</v>
      </c>
      <c r="AZ18" s="129">
        <f t="shared" si="19"/>
        <v>0</v>
      </c>
      <c r="BA18" s="129">
        <f t="shared" si="19"/>
        <v>3</v>
      </c>
      <c r="BB18" s="129">
        <f t="shared" si="19"/>
        <v>81</v>
      </c>
      <c r="BC18" s="125">
        <f>IF(ISNUMBER(W18),W18," - ")</f>
        <v>0</v>
      </c>
      <c r="BD18" s="126" t="str">
        <f>IF(ISNUMBER(BA18/AZ18),BA18/AZ18," - ")</f>
        <v xml:space="preserve"> - </v>
      </c>
      <c r="BE18" s="127">
        <f>IF(ISNUMBER(BB18/BA18),BB18/BA18, " - ")</f>
        <v>27</v>
      </c>
      <c r="BF18" s="127">
        <f>IF(ISNUMBER(BC18/BA18),BC18/BA18, " - ")</f>
        <v>0</v>
      </c>
      <c r="BG18" s="195">
        <f>IF(ISNUMBER((AY18+AZ18)/BA18),(AY18+AZ18)/BA18," - ")</f>
        <v>11.666666666666666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1902</v>
      </c>
      <c r="J19" s="183">
        <f t="shared" si="20"/>
        <v>597</v>
      </c>
      <c r="K19" s="183">
        <f t="shared" si="20"/>
        <v>580</v>
      </c>
      <c r="L19" s="183">
        <f t="shared" si="20"/>
        <v>1919</v>
      </c>
      <c r="M19" s="183">
        <f t="shared" si="20"/>
        <v>166</v>
      </c>
      <c r="N19" s="183">
        <f t="shared" si="20"/>
        <v>272</v>
      </c>
      <c r="O19" s="183">
        <f t="shared" si="20"/>
        <v>5</v>
      </c>
      <c r="P19" s="183">
        <f t="shared" si="20"/>
        <v>29</v>
      </c>
      <c r="Q19" s="183">
        <f t="shared" si="20"/>
        <v>37</v>
      </c>
      <c r="R19" s="183">
        <f t="shared" si="20"/>
        <v>318</v>
      </c>
      <c r="S19" s="183">
        <f t="shared" si="20"/>
        <v>1852</v>
      </c>
      <c r="T19" s="183">
        <f t="shared" si="20"/>
        <v>991</v>
      </c>
      <c r="U19" s="183">
        <f t="shared" si="20"/>
        <v>854</v>
      </c>
      <c r="V19" s="183">
        <f t="shared" si="20"/>
        <v>2038</v>
      </c>
      <c r="W19" s="183">
        <f t="shared" si="20"/>
        <v>212</v>
      </c>
      <c r="X19" s="183">
        <f t="shared" si="20"/>
        <v>438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1852</v>
      </c>
      <c r="AZ19" s="183">
        <f>SUBTOTAL(9,AZ14:AZ18)</f>
        <v>991</v>
      </c>
      <c r="BA19" s="183">
        <f>SUBTOTAL(9,BA14:BA18)</f>
        <v>854</v>
      </c>
      <c r="BB19" s="183">
        <f>SUBTOTAL(9,BB14:BB18)</f>
        <v>2038</v>
      </c>
      <c r="BC19" s="183">
        <f>SUBTOTAL(9,BC14:BC18)</f>
        <v>212</v>
      </c>
      <c r="BD19" s="204">
        <f>IF(ISNUMBER(BA19/AZ19),BA19/AZ19," - ")</f>
        <v>0.86175580221997983</v>
      </c>
      <c r="BE19" s="205">
        <f>IF(ISNUMBER(BB19/BA19),BB19/BA19, " - ")</f>
        <v>2.3864168618266981</v>
      </c>
      <c r="BF19" s="205">
        <f>IF(ISNUMBER(BC19/BA19),BC19/BA19, " - ")</f>
        <v>0.24824355971896955</v>
      </c>
      <c r="BG19" s="206">
        <f>IF(ISNUMBER((AY19+AZ19)/BA19),(AY19+AZ19)/BA19," - ")</f>
        <v>3.3290398126463701</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7175</v>
      </c>
      <c r="J20" s="134">
        <f t="shared" si="23"/>
        <v>1678</v>
      </c>
      <c r="K20" s="134">
        <f t="shared" si="23"/>
        <v>1703</v>
      </c>
      <c r="L20" s="134">
        <f t="shared" si="23"/>
        <v>7150</v>
      </c>
      <c r="M20" s="134">
        <f t="shared" si="23"/>
        <v>497</v>
      </c>
      <c r="N20" s="134">
        <f t="shared" si="23"/>
        <v>612</v>
      </c>
      <c r="O20" s="134">
        <f t="shared" si="23"/>
        <v>735</v>
      </c>
      <c r="P20" s="134">
        <f t="shared" si="23"/>
        <v>382</v>
      </c>
      <c r="Q20" s="134">
        <f t="shared" si="23"/>
        <v>277</v>
      </c>
      <c r="R20" s="134">
        <f t="shared" si="23"/>
        <v>6298</v>
      </c>
      <c r="S20" s="134">
        <f t="shared" si="23"/>
        <v>8362</v>
      </c>
      <c r="T20" s="134">
        <f t="shared" si="23"/>
        <v>2088</v>
      </c>
      <c r="U20" s="134">
        <f t="shared" si="23"/>
        <v>2322</v>
      </c>
      <c r="V20" s="134">
        <f t="shared" si="23"/>
        <v>8177</v>
      </c>
      <c r="W20" s="134">
        <f t="shared" si="23"/>
        <v>716</v>
      </c>
      <c r="X20" s="134">
        <f t="shared" si="23"/>
        <v>958</v>
      </c>
      <c r="Y20" s="134">
        <f t="shared" si="23"/>
        <v>207</v>
      </c>
      <c r="Z20" s="134">
        <f t="shared" si="23"/>
        <v>92</v>
      </c>
      <c r="AA20" s="134">
        <f t="shared" si="23"/>
        <v>83</v>
      </c>
      <c r="AB20" s="134">
        <f t="shared" si="23"/>
        <v>216</v>
      </c>
      <c r="AC20" s="134">
        <f t="shared" si="23"/>
        <v>0</v>
      </c>
      <c r="AD20" s="134">
        <f t="shared" si="23"/>
        <v>0</v>
      </c>
      <c r="AE20" s="134">
        <f t="shared" si="23"/>
        <v>0</v>
      </c>
      <c r="AF20" s="134">
        <f t="shared" si="23"/>
        <v>0</v>
      </c>
      <c r="AG20" s="134">
        <f t="shared" si="23"/>
        <v>255</v>
      </c>
      <c r="AH20" s="134">
        <f t="shared" si="23"/>
        <v>127</v>
      </c>
      <c r="AI20" s="134">
        <f t="shared" si="23"/>
        <v>101</v>
      </c>
      <c r="AJ20" s="134">
        <f t="shared" si="23"/>
        <v>281</v>
      </c>
      <c r="AK20" s="134">
        <f t="shared" si="23"/>
        <v>0</v>
      </c>
      <c r="AL20" s="134">
        <f t="shared" si="23"/>
        <v>2</v>
      </c>
      <c r="AM20" s="134">
        <f t="shared" si="23"/>
        <v>2</v>
      </c>
      <c r="AN20" s="209">
        <f t="shared" si="23"/>
        <v>0</v>
      </c>
      <c r="AO20" s="210">
        <v>5</v>
      </c>
      <c r="AP20" s="210">
        <v>4</v>
      </c>
      <c r="AQ20" s="210">
        <v>4</v>
      </c>
      <c r="AR20" s="210">
        <v>4</v>
      </c>
      <c r="AS20" s="152">
        <f t="shared" si="23"/>
        <v>0</v>
      </c>
      <c r="AT20" s="152">
        <f t="shared" si="23"/>
        <v>0</v>
      </c>
      <c r="AU20" s="210"/>
      <c r="AV20" s="211"/>
      <c r="AW20" s="210"/>
      <c r="AX20" s="211"/>
      <c r="AY20" s="133">
        <f>SUBTOTAL(9,AY9:AY19)</f>
        <v>8617</v>
      </c>
      <c r="AZ20" s="134">
        <f>SUBTOTAL(9,AZ9:AZ19)</f>
        <v>2215</v>
      </c>
      <c r="BA20" s="134">
        <f>SUBTOTAL(9,BA9:BA19)</f>
        <v>2423</v>
      </c>
      <c r="BB20" s="134">
        <f>SUBTOTAL(9,BB9:BB19)</f>
        <v>8458</v>
      </c>
      <c r="BC20" s="135">
        <f>SUBTOTAL(9,BC9:BC19)</f>
        <v>733</v>
      </c>
      <c r="BD20" s="212">
        <f>IF(ISNUMBER(BA20/AZ20),BA20/AZ20," - ")</f>
        <v>1.0939051918735891</v>
      </c>
      <c r="BE20" s="209">
        <f>IF(ISNUMBER(BB20/BA20),BB20/BA20, " - ")</f>
        <v>3.4907139909203466</v>
      </c>
      <c r="BF20" s="209">
        <f>IF(ISNUMBER(BC20/BA20),BC20/BA20, " - ")</f>
        <v>0.30251754023937266</v>
      </c>
      <c r="BG20" s="135">
        <f>IF(ISNUMBER((AY20+AZ20)/BA20),(AY20+AZ20)/BA20," - ")</f>
        <v>4.4704911267024352</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knR96D0rThLuEsS5WChce2hZBKFhNI9o5/AiyYA/hn9XHt6tUNxb+PO41MM8vq4zXNUtPwvyvZHNJNWVlHesg==" saltValue="+txgzr2h5Ite7itUcaMDj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n/a1cLIRO0ppT8BMmFjROrcLvejMwTJMi0HF5PkqestbawxO2ISru/2KZrRUORQrDmmRPoU3A6aJzNHexh77A==" saltValue="yHhKuyL1VNDkmmcUN+tnj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 FERNANDO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353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240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216</v>
      </c>
      <c r="AI12" s="333" t="str">
        <f>IF(ISNUMBER(Datos!CD12),Datos!CD12,"-")</f>
        <v>-</v>
      </c>
      <c r="AJ12" s="333" t="str">
        <f>IF(ISNUMBER(Datos!EN12),Datos!EN12," - ")</f>
        <v xml:space="preserve"> - </v>
      </c>
      <c r="AK12" s="333"/>
      <c r="AL12" s="478"/>
      <c r="AM12" s="334">
        <f>IF(ISNUMBER(Datos!R12),Datos!R12," - ")</f>
        <v>5980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331</v>
      </c>
      <c r="BD12" s="228">
        <f>IF(ISNUMBER(Datos!N12),Datos!N12," - ")</f>
        <v>340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1.0281329923273657</v>
      </c>
      <c r="BH12" s="259">
        <f>IF(ISNUMBER(((IF(J_V="SI",Datos!L12/Datos!K12,(Datos!L12+Datos!AB12)/(Datos!K12+Datos!AA12)))*11)/factor_trimestre),((IF(J_V="SI",Datos!L12/Datos!K12,(Datos!L12+Datos!AB12)/(Datos!K12+Datos!AA12)))*11)/factor_trimestre," - ")</f>
        <v>13.544776119402986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1.9260269302880519E-2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92</v>
      </c>
      <c r="O13" s="897">
        <f t="shared" si="0"/>
        <v>0</v>
      </c>
      <c r="P13" s="897">
        <f t="shared" si="0"/>
        <v>0</v>
      </c>
      <c r="Q13" s="896">
        <f t="shared" si="0"/>
        <v>353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240</v>
      </c>
      <c r="AD13" s="896">
        <f t="shared" si="1"/>
        <v>0</v>
      </c>
      <c r="AE13" s="896">
        <f t="shared" si="1"/>
        <v>0</v>
      </c>
      <c r="AF13" s="896">
        <f t="shared" si="1"/>
        <v>2</v>
      </c>
      <c r="AG13" s="896">
        <f t="shared" si="1"/>
        <v>0</v>
      </c>
      <c r="AH13" s="896">
        <f t="shared" si="1"/>
        <v>216</v>
      </c>
      <c r="AI13" s="896">
        <f t="shared" si="1"/>
        <v>0</v>
      </c>
      <c r="AJ13" s="896">
        <f t="shared" si="1"/>
        <v>0</v>
      </c>
      <c r="AK13" s="896">
        <f t="shared" si="1"/>
        <v>0</v>
      </c>
      <c r="AL13" s="896">
        <f t="shared" si="1"/>
        <v>0</v>
      </c>
      <c r="AM13" s="896">
        <f t="shared" si="1"/>
        <v>5980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331</v>
      </c>
      <c r="BD13" s="896">
        <f t="shared" si="1"/>
        <v>340</v>
      </c>
      <c r="BE13" s="896">
        <f t="shared" si="1"/>
        <v>0</v>
      </c>
      <c r="BF13" s="896">
        <f t="shared" si="1"/>
        <v>0</v>
      </c>
      <c r="BG13" s="896">
        <f>IF(ISNUMBER(Datos!K13/Datos!J13),Datos!K13/Datos!J13," - ")</f>
        <v>1.0388529139685476</v>
      </c>
      <c r="BH13" s="900">
        <f>IF(ISNUMBER(((Datos!L13/Datos!K13)*11)/factor_trimestre),((Datos!L13/Datos!K13)*11)/factor_trimestre," - ")</f>
        <v>13.974176313446128</v>
      </c>
      <c r="BI13" s="896">
        <f>IF(ISNUMBER('Resol  Asuntos'!D13/NºAsuntos!G13),'Resol  Asuntos'!D13/NºAsuntos!G13," - ")</f>
        <v>0.2744610281923715</v>
      </c>
      <c r="BJ13" s="896" t="str">
        <f>IF(ISNUMBER(Datos!CI13/Datos!CJ13),Datos!CI13/Datos!CJ13," - ")</f>
        <v xml:space="preserve"> - </v>
      </c>
      <c r="BK13" s="896">
        <f>SUBTOTAL(9,BK8:BK12)</f>
        <v>0</v>
      </c>
      <c r="BL13" s="896">
        <f>IF(ISNUMBER((I13-AB13+L13)/(F13)),(I13-AB13+L13)/(F13)," - ")</f>
        <v>0</v>
      </c>
      <c r="BM13" s="901">
        <f>SUBTOTAL(9,BM9:BM12)</f>
        <v>1.9260269302880519E-2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1855</v>
      </c>
      <c r="G17" s="596">
        <f>IF(ISNUMBER(IF(D_I="SI",Datos!I17,Datos!I17+Datos!AC17)),IF(D_I="SI",Datos!I17,Datos!I17+Datos!AC17)," - ")</f>
        <v>1855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574</v>
      </c>
      <c r="AC17" s="225">
        <f>IF(ISNUMBER(Datos!Q17),Datos!Q17," - ")</f>
        <v>37</v>
      </c>
      <c r="AD17" s="333"/>
      <c r="AE17" s="483"/>
      <c r="AF17" s="1192">
        <f>IF(ISNUMBER(IF(D_I="SI",Datos!L17,Datos!L17+Datos!AF17)),IF(D_I="SI",Datos!L17,Datos!L17+Datos!AF17)," - ")</f>
        <v>1878</v>
      </c>
      <c r="AG17" s="333"/>
      <c r="AH17" s="333"/>
      <c r="AI17" s="333"/>
      <c r="AJ17" s="333"/>
      <c r="AK17" s="333"/>
      <c r="AL17" s="478"/>
      <c r="AM17" s="334">
        <f>IF(ISNUMBER(Datos!R17),Datos!R17," - ")</f>
        <v>318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166</v>
      </c>
      <c r="BD17" s="228">
        <f>IF(ISNUMBER(Datos!N17),Datos!N17," - ")</f>
        <v>268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0.96147403685092125</v>
      </c>
      <c r="BH17" s="259">
        <f>IF(ISNUMBER(((IF(D_I="SI",Datos!L17/Datos!K17,(Datos!L17+Datos!AF17)/(Datos!K17+Datos!AE17)))*11)/factor_trimestre),((IF(D_I="SI",Datos!L17/Datos!K17,(Datos!L17+Datos!AF17)/(Datos!K17+Datos!AE17)))*11)/factor_trimestre," - ")</f>
        <v>9.8153310104529634</v>
      </c>
      <c r="BI17" s="242">
        <f>IF(ISNUMBER('Resol  Asuntos'!D17/NºAsuntos!G17),'Resol  Asuntos'!D17/NºAsuntos!G17," - ")</f>
        <v>0.28919860627177701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41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20.5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1855</v>
      </c>
      <c r="G19" s="895">
        <f>SUBTOTAL(9,G15:G18)</f>
        <v>1902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580</v>
      </c>
      <c r="AC19" s="896">
        <f t="shared" si="4"/>
        <v>37</v>
      </c>
      <c r="AD19" s="896">
        <f t="shared" si="4"/>
        <v>0</v>
      </c>
      <c r="AE19" s="896">
        <f t="shared" si="4"/>
        <v>0</v>
      </c>
      <c r="AF19" s="896">
        <f t="shared" si="4"/>
        <v>1919</v>
      </c>
      <c r="AG19" s="896">
        <f t="shared" si="4"/>
        <v>0</v>
      </c>
      <c r="AH19" s="896">
        <f t="shared" si="4"/>
        <v>0</v>
      </c>
      <c r="AI19" s="896">
        <f t="shared" si="4"/>
        <v>0</v>
      </c>
      <c r="AJ19" s="896">
        <f t="shared" si="4"/>
        <v>0</v>
      </c>
      <c r="AK19" s="896">
        <f t="shared" si="4"/>
        <v>0</v>
      </c>
      <c r="AL19" s="896">
        <f t="shared" si="4"/>
        <v>0</v>
      </c>
      <c r="AM19" s="896">
        <f t="shared" si="4"/>
        <v>318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166</v>
      </c>
      <c r="BD19" s="896">
        <f t="shared" si="4"/>
        <v>272</v>
      </c>
      <c r="BE19" s="896">
        <f t="shared" si="4"/>
        <v>0</v>
      </c>
      <c r="BF19" s="896">
        <f t="shared" si="4"/>
        <v>0</v>
      </c>
      <c r="BG19" s="896">
        <f>IF(ISNUMBER(Datos!K19/Datos!J19),Datos!K19/Datos!J19," - ")</f>
        <v>0.9715242881072027</v>
      </c>
      <c r="BH19" s="900">
        <f>IF(ISNUMBER(((Datos!L19/Datos!K19)*11)/factor_trimestre),((Datos!L19/Datos!K19)*11)/factor_trimestre," - ")</f>
        <v>9.9258620689655164</v>
      </c>
      <c r="BI19" s="896">
        <f>SUBTOTAL(9,BI15:BI18)</f>
        <v>0.28919860627177701</v>
      </c>
      <c r="BJ19" s="896">
        <f>SUBTOTAL(9,BJ15:BJ18)</f>
        <v>0</v>
      </c>
      <c r="BK19" s="896">
        <f>SUBTOTAL(9,BK15:BK18)</f>
        <v>0</v>
      </c>
      <c r="BL19" s="896">
        <f>IF(ISNUMBER((I19-AB19+L19)/(F19)),(I19-AB19+L19)/(F19)," - ")</f>
        <v>-0.31266846361185985</v>
      </c>
      <c r="BM19" s="902">
        <f>IF(ISNUMBER((Datos!P19-Datos!Q19)/(Datos!R19-Datos!P19+Datos!Q19)),(Datos!P19-Datos!Q19)/(Datos!R19-Datos!P19+Datos!Q19)," - ")</f>
        <v>-2.4539877300613498E-2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1857</v>
      </c>
      <c r="G20" s="817">
        <f t="shared" si="6"/>
        <v>1904</v>
      </c>
      <c r="H20" s="819">
        <f t="shared" si="6"/>
        <v>0</v>
      </c>
      <c r="I20" s="817">
        <f t="shared" si="6"/>
        <v>0</v>
      </c>
      <c r="J20" s="819">
        <f t="shared" si="6"/>
        <v>0</v>
      </c>
      <c r="K20" s="819">
        <f t="shared" si="6"/>
        <v>0</v>
      </c>
      <c r="L20" s="878">
        <f t="shared" si="6"/>
        <v>0</v>
      </c>
      <c r="M20" s="878">
        <f t="shared" si="6"/>
        <v>0</v>
      </c>
      <c r="N20" s="878">
        <f t="shared" si="6"/>
        <v>92</v>
      </c>
      <c r="O20" s="878">
        <f t="shared" si="6"/>
        <v>0</v>
      </c>
      <c r="P20" s="878">
        <f t="shared" si="6"/>
        <v>0</v>
      </c>
      <c r="Q20" s="819">
        <f t="shared" si="6"/>
        <v>382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580</v>
      </c>
      <c r="AC20" s="818">
        <f t="shared" si="7"/>
        <v>277</v>
      </c>
      <c r="AD20" s="818">
        <f t="shared" si="7"/>
        <v>0</v>
      </c>
      <c r="AE20" s="818">
        <f t="shared" si="7"/>
        <v>0</v>
      </c>
      <c r="AF20" s="825">
        <f t="shared" si="7"/>
        <v>1921</v>
      </c>
      <c r="AG20" s="825">
        <f t="shared" si="7"/>
        <v>0</v>
      </c>
      <c r="AH20" s="825">
        <f t="shared" si="7"/>
        <v>216</v>
      </c>
      <c r="AI20" s="825">
        <f t="shared" si="7"/>
        <v>0</v>
      </c>
      <c r="AJ20" s="818">
        <f t="shared" si="7"/>
        <v>0</v>
      </c>
      <c r="AK20" s="825">
        <f t="shared" si="7"/>
        <v>0</v>
      </c>
      <c r="AL20" s="825">
        <f t="shared" si="7"/>
        <v>0</v>
      </c>
      <c r="AM20" s="825">
        <f t="shared" si="7"/>
        <v>6298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497</v>
      </c>
      <c r="BD20" s="817">
        <f t="shared" si="7"/>
        <v>612</v>
      </c>
      <c r="BE20" s="817">
        <f t="shared" si="7"/>
        <v>0</v>
      </c>
      <c r="BF20" s="827">
        <f t="shared" si="7"/>
        <v>0</v>
      </c>
      <c r="BG20" s="912">
        <f>IF(ISNUMBER(Datos!K20/Datos!J20),Datos!K20/Datos!J20," - ")</f>
        <v>1.0148986889153755</v>
      </c>
      <c r="BH20" s="912">
        <f>IF(ISNUMBER(((Datos!L20/Datos!K20)*11)/factor_trimestre),((Datos!L20/Datos!K20)*11)/factor_trimestre," - ")</f>
        <v>12.595419847328245</v>
      </c>
      <c r="BI20" s="810">
        <f>IF(ISNUMBER(Datos!J20/Datos!I20),Datos!J20/Datos!I20," - ")</f>
        <v>0.23386759581881533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-0.31233171782444802</v>
      </c>
      <c r="BM20" s="886">
        <f>IF(ISNUMBER((Datos!P20-Datos!Q20+R20)/(Datos!R20-Datos!P20+Datos!Q20-R20)),(Datos!P20-Datos!Q20+R20)/(Datos!R20-Datos!P20+Datos!Q20-R20)," - ")</f>
        <v>1.6954626190860651E-2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761.6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1069.8300488083764</v>
      </c>
      <c r="G22" s="551">
        <f>IF(ISNUMBER(STDEV(G8:G19)),STDEV(G8:G19),"-")</f>
        <v>1019.8864152443643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314.95713994129426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148.02792529339411</v>
      </c>
      <c r="BD22" s="550"/>
      <c r="BE22" s="550">
        <f>IF(ISNUMBER(STDEV(BE8:BE19)),STDEV(BE8:BE19),"-")</f>
        <v>0</v>
      </c>
      <c r="BF22" s="555">
        <f>IF(ISNUMBER(STDEV(BF8:BF19)),STDEV(BF8:BF19),"-")</f>
        <v>0</v>
      </c>
      <c r="BG22" s="772">
        <f>IF(ISNUMBER(STDEV(BG8:BG19)),STDEV(BG8:BG19),"-")</f>
        <v>3.9141325660318881E-2</v>
      </c>
      <c r="BH22" s="773">
        <f>IF(ISNUMBER(STDEV(BH8:BH19)),STDEV(BH8:BH19),"-")</f>
        <v>4.3463939206018951</v>
      </c>
      <c r="BI22" s="248">
        <f>IF(ISNUMBER(STDEV(BI8:BI19)),STDEV(BI8:BI19),"-")</f>
        <v>0.14231271791105654</v>
      </c>
      <c r="BJ22" s="229" t="str">
        <f>IF(ISNUMBER(BL22/BM22),BL22/BM22," - ")</f>
        <v xml:space="preserve"> - </v>
      </c>
      <c r="BK22" s="574"/>
      <c r="BL22" s="558">
        <f>IF(ISNUMBER(STDEV(BL8:BL19)),STDEV(BL8:BL19),"-")</f>
        <v>0.22108999088312539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e2Z58WCMZ9w+JLcIvz8c58xmIZbkILymGXLgQwPqyXWHVe65nk5HxWq2bOeOzaYtzi1yBm9wLreOQISyJWaQQ==" saltValue="DW3uab7wKr5l0AWM65mT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SAN FERNANDO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240</v>
      </c>
      <c r="AA12" s="331" t="str">
        <f>IF(ISNUMBER(IF(J_V="SI",Datos!L12,Datos!L12+Datos!AB12)-IF(Monitorios="SI",Datos!CD12,0)),
                          IF(J_V="SI",Datos!L12,Datos!L12+Datos!AB12)-IF(Monitorios="SI",Datos!CD12,0),
                          " - ")</f>
        <v xml:space="preserve"> - </v>
      </c>
      <c r="AB12" s="333"/>
      <c r="AC12" s="333"/>
      <c r="AD12" s="483"/>
      <c r="AE12" s="483">
        <f>IF(ISNUMBER(Datos!R12),Datos!R12," - ")</f>
        <v>5980</v>
      </c>
      <c r="AF12" s="228" t="str">
        <f>IF(ISNUMBER(Datos!BV12),Datos!BV12," - ")</f>
        <v xml:space="preserve"> - </v>
      </c>
      <c r="AG12" s="224" t="str">
        <f>IF(ISNUMBER(Datos!DV12),Datos!DV12," - ")</f>
        <v xml:space="preserve"> - </v>
      </c>
      <c r="AH12" s="297"/>
      <c r="AI12" s="226"/>
      <c r="AJ12" s="224">
        <f>IF(ISNUMBER(Datos!M12),Datos!M12," - ")</f>
        <v>331</v>
      </c>
      <c r="AK12" s="228">
        <f>IF(ISNUMBER(Datos!N12),Datos!N12," - ")</f>
        <v>340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13.544776119402986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1.9260269302880519E-2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353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240</v>
      </c>
      <c r="AA13" s="897">
        <f t="shared" si="2"/>
        <v>2</v>
      </c>
      <c r="AB13" s="897">
        <f t="shared" si="2"/>
        <v>0</v>
      </c>
      <c r="AC13" s="897">
        <f t="shared" si="2"/>
        <v>0</v>
      </c>
      <c r="AD13" s="897">
        <f t="shared" si="2"/>
        <v>0</v>
      </c>
      <c r="AE13" s="897">
        <f t="shared" si="2"/>
        <v>5980</v>
      </c>
      <c r="AF13" s="905">
        <f t="shared" si="2"/>
        <v>0</v>
      </c>
      <c r="AG13" s="905">
        <f t="shared" si="2"/>
        <v>0</v>
      </c>
      <c r="AH13" s="905">
        <f t="shared" si="2"/>
        <v>0</v>
      </c>
      <c r="AI13" s="905">
        <f t="shared" si="2"/>
        <v>0</v>
      </c>
      <c r="AJ13" s="905">
        <f t="shared" si="2"/>
        <v>331</v>
      </c>
      <c r="AK13" s="905">
        <f t="shared" si="2"/>
        <v>340</v>
      </c>
      <c r="AL13" s="905">
        <f t="shared" si="2"/>
        <v>0</v>
      </c>
      <c r="AM13" s="905">
        <f t="shared" si="2"/>
        <v>0</v>
      </c>
      <c r="AN13" s="905">
        <f t="shared" si="2"/>
        <v>0</v>
      </c>
      <c r="AO13" s="901">
        <f>IF(ISNUMBER(((NºAsuntos!I13/NºAsuntos!G13)*11)/factor_trimestre),((NºAsuntos!I13/NºAsuntos!G13)*11)/factor_trimestre," - ")</f>
        <v>13.549751243781095</v>
      </c>
      <c r="AP13" s="907" t="str">
        <f>IF(ISNUMBER(Datos!CI13/Datos!CJ13),Datos!CI13/Datos!CJ13," - ")</f>
        <v xml:space="preserve"> - </v>
      </c>
      <c r="AQ13" s="923">
        <f t="shared" ref="AQ13:AV13" si="3">SUBTOTAL(9,AQ9:AQ12)</f>
        <v>0</v>
      </c>
      <c r="AR13" s="923">
        <f t="shared" si="3"/>
        <v>1.9260269302880519E-2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1855</v>
      </c>
      <c r="G17" s="224">
        <f>IF(ISNUMBER(IF(D_I="SI",Datos!I17,Datos!I17+Datos!AC17)),IF(D_I="SI",Datos!I17,Datos!I17+Datos!AC17)," - ")</f>
        <v>1855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574</v>
      </c>
      <c r="Z17" s="617">
        <f>IF(ISNUMBER(Datos!Q17),Datos!Q17," - ")</f>
        <v>37</v>
      </c>
      <c r="AA17" s="331">
        <f>IF(ISNUMBER(IF(D_I="SI",Datos!L17,Datos!L17+Datos!AF17)),IF(D_I="SI",Datos!L17,Datos!L17+Datos!AF17)," - ")</f>
        <v>1878</v>
      </c>
      <c r="AB17" s="333"/>
      <c r="AC17" s="333"/>
      <c r="AD17" s="483"/>
      <c r="AE17" s="483">
        <f>IF(ISNUMBER(Datos!R17),Datos!R17," - ")</f>
        <v>318</v>
      </c>
      <c r="AF17" s="228" t="str">
        <f>IF(ISNUMBER(Datos!BV17),Datos!BV17," - ")</f>
        <v xml:space="preserve"> - </v>
      </c>
      <c r="AG17" s="224"/>
      <c r="AH17" s="297"/>
      <c r="AI17" s="226"/>
      <c r="AJ17" s="224">
        <f>IF(ISNUMBER(Datos!M17),Datos!M17," - ")</f>
        <v>166</v>
      </c>
      <c r="AK17" s="228">
        <f>IF(ISNUMBER(Datos!N17),Datos!N17," - ")</f>
        <v>268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9.8153310104529634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41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1855</v>
      </c>
      <c r="G19" s="895">
        <f>SUBTOTAL(9,G15:G18)</f>
        <v>1902</v>
      </c>
      <c r="H19" s="927">
        <f>SUBTOTAL(9,H15:H18)</f>
        <v>0</v>
      </c>
      <c r="I19" s="908">
        <f>SUBTOTAL(9,I15:I18)</f>
        <v>0</v>
      </c>
      <c r="J19" s="864">
        <f>SUBTOTAL(9,J14:J18)</f>
        <v>0</v>
      </c>
      <c r="K19" s="927">
        <f t="shared" ref="K19:S19" si="4">SUBTOTAL(9,K15:K18)</f>
        <v>0</v>
      </c>
      <c r="L19" s="927">
        <f t="shared" si="4"/>
        <v>0</v>
      </c>
      <c r="M19" s="927">
        <f t="shared" si="4"/>
        <v>0</v>
      </c>
      <c r="N19" s="927">
        <f t="shared" si="4"/>
        <v>29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580</v>
      </c>
      <c r="Z19" s="927">
        <f t="shared" si="5"/>
        <v>37</v>
      </c>
      <c r="AA19" s="927">
        <f t="shared" si="5"/>
        <v>1919</v>
      </c>
      <c r="AB19" s="927">
        <f t="shared" si="5"/>
        <v>0</v>
      </c>
      <c r="AC19" s="927">
        <f t="shared" si="5"/>
        <v>0</v>
      </c>
      <c r="AD19" s="927">
        <f t="shared" si="5"/>
        <v>0</v>
      </c>
      <c r="AE19" s="927">
        <f t="shared" si="5"/>
        <v>318</v>
      </c>
      <c r="AF19" s="927">
        <f t="shared" si="5"/>
        <v>0</v>
      </c>
      <c r="AG19" s="927">
        <f t="shared" si="5"/>
        <v>0</v>
      </c>
      <c r="AH19" s="927">
        <f t="shared" si="5"/>
        <v>0</v>
      </c>
      <c r="AI19" s="927">
        <f t="shared" si="5"/>
        <v>0</v>
      </c>
      <c r="AJ19" s="927">
        <f t="shared" si="5"/>
        <v>166</v>
      </c>
      <c r="AK19" s="927">
        <f t="shared" si="5"/>
        <v>272</v>
      </c>
      <c r="AL19" s="927">
        <f t="shared" si="5"/>
        <v>0</v>
      </c>
      <c r="AM19" s="927">
        <f t="shared" si="5"/>
        <v>0</v>
      </c>
      <c r="AN19" s="927">
        <f t="shared" si="5"/>
        <v>0</v>
      </c>
      <c r="AO19" s="929">
        <f>IF(ISNUMBER(((NºAsuntos!I19/NºAsuntos!G19)*11)/factor_trimestre),((NºAsuntos!I19/NºAsuntos!G19)*11)/factor_trimestre," - ")</f>
        <v>9.9258620689655164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1857</v>
      </c>
      <c r="G20" s="817">
        <f t="shared" si="7"/>
        <v>1904</v>
      </c>
      <c r="H20" s="818">
        <f t="shared" si="7"/>
        <v>0</v>
      </c>
      <c r="I20" s="817">
        <f t="shared" si="7"/>
        <v>0</v>
      </c>
      <c r="J20" s="819">
        <f t="shared" si="7"/>
        <v>0</v>
      </c>
      <c r="K20" s="817">
        <f t="shared" si="7"/>
        <v>0</v>
      </c>
      <c r="L20" s="820">
        <f t="shared" si="7"/>
        <v>0</v>
      </c>
      <c r="M20" s="817">
        <f t="shared" si="7"/>
        <v>0</v>
      </c>
      <c r="N20" s="818">
        <f t="shared" si="7"/>
        <v>382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580</v>
      </c>
      <c r="Z20" s="824">
        <f t="shared" si="8"/>
        <v>277</v>
      </c>
      <c r="AA20" s="825">
        <f t="shared" si="8"/>
        <v>1921</v>
      </c>
      <c r="AB20" s="825">
        <f t="shared" si="8"/>
        <v>0</v>
      </c>
      <c r="AC20" s="825">
        <f t="shared" si="8"/>
        <v>0</v>
      </c>
      <c r="AD20" s="826">
        <f t="shared" si="8"/>
        <v>0</v>
      </c>
      <c r="AE20" s="826">
        <f t="shared" si="8"/>
        <v>6298</v>
      </c>
      <c r="AF20" s="827">
        <f t="shared" si="8"/>
        <v>0</v>
      </c>
      <c r="AG20" s="828">
        <f t="shared" si="8"/>
        <v>0</v>
      </c>
      <c r="AH20" s="829">
        <f t="shared" si="8"/>
        <v>0</v>
      </c>
      <c r="AI20" s="827">
        <f t="shared" si="8"/>
        <v>0</v>
      </c>
      <c r="AJ20" s="817">
        <f t="shared" si="8"/>
        <v>497</v>
      </c>
      <c r="AK20" s="817">
        <f t="shared" si="8"/>
        <v>612</v>
      </c>
      <c r="AL20" s="817">
        <f t="shared" si="8"/>
        <v>0</v>
      </c>
      <c r="AM20" s="830">
        <f t="shared" si="8"/>
        <v>0</v>
      </c>
      <c r="AN20" s="820">
        <f>IF(ISNUMBER(Datos!K20/Datos!J20),Datos!K20/Datos!J20," - ")</f>
        <v>1.0148986889153755</v>
      </c>
      <c r="AO20" s="820">
        <f>IF(ISNUMBER(FIND("06",Criterios!A8,1)),(IF(ISNUMBER(((Datos!R20/Datos!Q20)*11)/factor_trimestre),((Datos!R20/Datos!Q20)*11)/factor_trimestre," - ")),(IF(ISNUMBER(((Datos!L20/Datos!K20)*11)/factor_trimestre),((Datos!L20/Datos!K20)*11)/factor_trimestre," - ")))</f>
        <v>12.595419847328245</v>
      </c>
      <c r="AP20" s="831" t="str">
        <f>IF(ISNUMBER(Datos!CI20/Datos!CJ20),Datos!CI20/Datos!CJ20," - ")</f>
        <v xml:space="preserve"> - </v>
      </c>
      <c r="AQ20" s="831">
        <f>IF(OR(ISNUMBER(FIND("01",Criterios!A8,1)),ISNUMBER(FIND("02",Criterios!A8,1)),ISNUMBER(FIND("03",Criterios!A8,1)),ISNUMBER(FIND("04",Criterios!A8,1))),(J20-Y20+K20)/(F20-K20),(I20-Y20+K20)/(F20-K20))</f>
        <v>-0.31233171782444802</v>
      </c>
      <c r="AR20" s="831">
        <f>IF(ISNUMBER((Datos!P20-Datos!Q20+O20)/(Datos!R20-Datos!P20+Datos!Q20-O20)),(Datos!P20-Datos!Q20+O20)/(Datos!R20-Datos!P20+Datos!Q20-O20)," - ")</f>
        <v>1.6954626190860651E-2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761.6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1069.8300488083764</v>
      </c>
      <c r="G22" s="551">
        <f>IF(ISNUMBER(STDEV(G8:G19)),STDEV(G8:G19),"-")</f>
        <v>1019.8864152443643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148.02792529339411</v>
      </c>
      <c r="AK22" s="251"/>
      <c r="AL22" s="251">
        <f>IF(ISNUMBER(STDEV(AL8:AL19)),STDEV(AL8:AL19),"-")</f>
        <v>0</v>
      </c>
      <c r="AM22" s="253">
        <f>IF(ISNUMBER(STDEV(AM8:AM19)),STDEV(AM8:AM19),"-")</f>
        <v>0</v>
      </c>
      <c r="AN22" s="538">
        <f>IF(ISNUMBER(STDEV(AN8:AN19)),STDEV(AN8:AN19),"-")</f>
        <v>0</v>
      </c>
      <c r="AO22" s="539">
        <f>IF(ISNUMBER(STDEV(AO8:AO19)),STDEV(AO8:AO19),"-")</f>
        <v>4.3402283939073962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tY2cu8WHij9oTj9D2+tnV/3MERoyj2KFXa9BMYfrFawVWu9ncI/r/UKaGdcR2pC7vPFU2pGbHzg3yyBkL0YiA==" saltValue="7ag3GqZh1b+30LudHRPv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rbbCfixy0HVG3XWkN860S86Am9+YTCgZK5SVm9XXRmsbmQqVQs7ixxHpTaZ2D8A+Ms4nphmwMJEWE4OV0N5cA==" saltValue="qke5UDW/WkFDF3OFysnVj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Vl4DXcYDTyRPZQi6Ec+a13Zd54mknJFsaCyxVYyORFCsutdER3CukynZcB3QIRf9l5vwIwcXaZ90CX+TuWOAw==" saltValue="VjbSkoqECW/moq8VaqG9B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 FERNANDO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0.2744610281923715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0.19407325420625809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rxNiMexIu9/jHi+KTqOrIVSkPkhlybiWQ29Psz5dyc2RJ4br85XkjhYFQZWJfntiq4ajj3Qw3umAXviwdkneA==" saltValue="cZZ7bZEog48cv6rpTuL/4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30lTLloGAd0EzQLBCJE0t5iip6W5J+1fmcmXd2pE2eQ4gsttK5y7/ygXZHrY8MQGeh0Wdl0M9361xOkOHPLvQ==" saltValue="jSgyc9+8fNrcUYOd3bIGm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SAN FERNANDO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240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5980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331</v>
      </c>
      <c r="AM12" s="687">
        <f>IF(ISNUMBER(Datos!N12+DatosP!N17),Datos!N12+DatosP!N17," - ")</f>
        <v>340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13.544776119402986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1.9260269302880519E-2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353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240</v>
      </c>
      <c r="AE13" s="934">
        <f t="shared" si="1"/>
        <v>0</v>
      </c>
      <c r="AF13" s="934">
        <f t="shared" si="1"/>
        <v>2</v>
      </c>
      <c r="AG13" s="934">
        <f t="shared" si="1"/>
        <v>0</v>
      </c>
      <c r="AH13" s="934">
        <f t="shared" si="1"/>
        <v>5980</v>
      </c>
      <c r="AI13" s="934">
        <f t="shared" si="1"/>
        <v>0</v>
      </c>
      <c r="AJ13" s="934">
        <f t="shared" si="1"/>
        <v>0</v>
      </c>
      <c r="AK13" s="934">
        <f t="shared" si="1"/>
        <v>0</v>
      </c>
      <c r="AL13" s="934">
        <f t="shared" si="1"/>
        <v>331</v>
      </c>
      <c r="AM13" s="934">
        <f t="shared" si="1"/>
        <v>340</v>
      </c>
      <c r="AN13" s="934">
        <f t="shared" si="1"/>
        <v>0</v>
      </c>
      <c r="AO13" s="934">
        <f t="shared" si="1"/>
        <v>0</v>
      </c>
      <c r="AP13" s="939">
        <f>IF(ISNUMBER(((Datos!L13/Datos!K13)*11)/factor_trimestre),((Datos!L13/Datos!K13)*11)/factor_trimestre," - ")</f>
        <v>13.974176313446128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1.9260269302880519E-2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9.9258620689655164</v>
      </c>
      <c r="AQ19" s="939">
        <f>IF(ISNUMBER(((Datos!M19/Datos!L19)*11)/factor_trimestre),((Datos!M19/Datos!L19)*11)/factor_trimestre," - ")</f>
        <v>0.25951016154247003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-2.4539877300613498E-2</v>
      </c>
      <c r="AW19" s="941">
        <f>IF(ISNUMBER((Datos!Q19-Datos!R19)/(Datos!S19-Datos!Q19+Datos!R19)),(Datos!Q19-Datos!R19)/(Datos!S19-Datos!Q19+Datos!R19)," - ")</f>
        <v>-0.13173933427097984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353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240</v>
      </c>
      <c r="AE20" s="952">
        <f t="shared" si="5"/>
        <v>0</v>
      </c>
      <c r="AF20" s="953">
        <f t="shared" si="5"/>
        <v>2</v>
      </c>
      <c r="AG20" s="953">
        <f t="shared" si="5"/>
        <v>0</v>
      </c>
      <c r="AH20" s="953">
        <f t="shared" si="5"/>
        <v>5980</v>
      </c>
      <c r="AI20" s="953">
        <f t="shared" si="5"/>
        <v>0</v>
      </c>
      <c r="AJ20" s="954">
        <f t="shared" si="5"/>
        <v>0</v>
      </c>
      <c r="AK20" s="954">
        <f t="shared" si="5"/>
        <v>0</v>
      </c>
      <c r="AL20" s="946">
        <f t="shared" si="5"/>
        <v>331</v>
      </c>
      <c r="AM20" s="946">
        <f t="shared" si="5"/>
        <v>340</v>
      </c>
      <c r="AN20" s="946">
        <f t="shared" si="5"/>
        <v>0</v>
      </c>
      <c r="AO20" s="946">
        <f t="shared" si="5"/>
        <v>0</v>
      </c>
      <c r="AP20" s="946">
        <f>IF(ISNUMBER(((Datos!L20/Datos!K20)*11)/factor_trimestre),((Datos!L20/Datos!K20)*11)/factor_trimestre," - ")</f>
        <v>12.595419847328245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1.6954626190860651E-2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191.10293910176614</v>
      </c>
      <c r="AM22" s="733"/>
      <c r="AN22" s="733">
        <f>IF(ISNUMBER(STDEV(AN8:AN19)),STDEV(AN8:AN19),"-")</f>
        <v>0</v>
      </c>
      <c r="AO22" s="739">
        <f>IF(ISNUMBER(STDEV(AO8:AO19)),STDEV(AO8:AO19),"-")</f>
        <v>0</v>
      </c>
      <c r="AP22" s="776">
        <f>IF(ISNUMBER(STDEV(AP8:AP19)),STDEV(AP8:AP19),"-")</f>
        <v>2.2237270385984491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caCvQ7pDDiaIQL+MesgxW90nahWNKUbS+X/ilt0f4CZF24sGNcibOW/Sj2QFdVpPYKllo20+3wC6Sa3/CVI1g==" saltValue="K6T4J/0t2aFv05BvcGmNl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SAN FERNANDO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205.49571399412943</v>
      </c>
      <c r="CF9" s="228">
        <f ca="1">AVERAGEIFS($AB:$AB,$BW:$BW,BW9,$BX:$BX,BX9)</f>
        <v>205.49571399412943</v>
      </c>
      <c r="CG9" s="1191">
        <v>0.7</v>
      </c>
      <c r="CH9" s="1191">
        <f ca="1">AVERAGEIF($BW:$BW,$BW9,$AC:$AC)</f>
        <v>83.1</v>
      </c>
      <c r="CI9" s="228">
        <f ca="1">AVERAGEIFS($AC:$AC,$BW:$BW,$BW9,$BX:$BX,$BX9)</f>
        <v>83.1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640.33333333333337</v>
      </c>
      <c r="CR9" s="228">
        <f ca="1">AVERAGEIFS($AF:$AF,$BW:$BW,BW9,$BX:$BX,BX9)</f>
        <v>640.33333333333337</v>
      </c>
      <c r="CS9" s="1191">
        <v>1.3</v>
      </c>
      <c r="CT9" s="1191">
        <v>1.5</v>
      </c>
      <c r="CU9" s="1191">
        <f ca="1">AVERAGEIF($BW:$BW,$BW9,$AH:$AH)</f>
        <v>92.571428571428569</v>
      </c>
      <c r="CV9" s="228">
        <f ca="1">AVERAGEIFS($AH:$AH,$BW:$BW,$BW9,$BX:$BX,$BX9)</f>
        <v>92.571428571428569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1889.4</v>
      </c>
      <c r="DH9" s="228">
        <f ca="1">AVERAGEIFS($AM:$AM,$BW:$BW,$BW9,$BX:$BX,$BX9)</f>
        <v>1889.4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8.4701959280197734</v>
      </c>
      <c r="ER9" s="228">
        <f ca="1">AVERAGEIFS($BH:$BH,$BW:$BW,$BW9,$BX:$BX,$BX9)</f>
        <v>8.4701959280197734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205.49571399412943</v>
      </c>
      <c r="CF10" s="228">
        <f ca="1">AVERAGEIFS($AB:$AB,$BW:$BW,BW10,$BX:$BX,BX10)</f>
        <v>205.49571399412943</v>
      </c>
      <c r="CG10" s="1191">
        <v>0.7</v>
      </c>
      <c r="CH10" s="1191">
        <f ca="1">AVERAGEIF($BW:$BW,BW10,$AC:$AC)</f>
        <v>83.1</v>
      </c>
      <c r="CI10" s="228">
        <f ca="1">AVERAGEIFS($AC:$AC,$BW:$BW,BW10,$BX:$BX,BX10)</f>
        <v>83.1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640.33333333333337</v>
      </c>
      <c r="CR10" s="228">
        <f ca="1">AVERAGEIFS($AF:$AF,$BW:$BW,BW10,$BX:$BX,BX10)</f>
        <v>640.33333333333337</v>
      </c>
      <c r="CS10" s="1191">
        <v>1.3</v>
      </c>
      <c r="CT10" s="1191">
        <v>1.5</v>
      </c>
      <c r="CU10" s="1191">
        <f ca="1">AVERAGEIF($BW:$BW,$BW10,$AH:$AH)</f>
        <v>92.571428571428569</v>
      </c>
      <c r="CV10" s="228">
        <f ca="1">AVERAGEIFS($AH:$AH,$BW:$BW,$BW10,$BX:$BX,$BX10)</f>
        <v>92.571428571428569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1889.4</v>
      </c>
      <c r="DH10" s="228">
        <f ca="1">AVERAGEIFS($AM:$AM,$BW:$BW,$BW10,$BX:$BX,$BX10)</f>
        <v>1889.4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8.4701959280197734</v>
      </c>
      <c r="ER10" s="228">
        <f ca="1">AVERAGEIFS($BH:$BH,$BW:$BW,$BW10,$BX:$BX,$BX10)</f>
        <v>8.4701959280197734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205.49571399412943</v>
      </c>
      <c r="CF11" s="228">
        <f ca="1">AVERAGEIFS($AB:$AB,$BW:$BW,BW11,$BX:$BX,BX11)</f>
        <v>205.49571399412943</v>
      </c>
      <c r="CG11" s="1191">
        <v>0.7</v>
      </c>
      <c r="CH11" s="1191">
        <f ca="1">AVERAGEIF($BW:$BW,BW11,$AC:$AC)</f>
        <v>83.1</v>
      </c>
      <c r="CI11" s="228">
        <f ca="1">AVERAGEIFS($AC:$AC,$BW:$BW,BW11,$BX:$BX,BX11)</f>
        <v>83.1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640.33333333333337</v>
      </c>
      <c r="CR11" s="228">
        <f ca="1">AVERAGEIFS($AF:$AF,$BW:$BW,BW11,$BX:$BX,BX11)</f>
        <v>640.33333333333337</v>
      </c>
      <c r="CS11" s="1191">
        <v>1.3</v>
      </c>
      <c r="CT11" s="1191">
        <v>1.5</v>
      </c>
      <c r="CU11" s="1191">
        <f ca="1">AVERAGEIF($BW:$BW,$BW11,$AH:$AH)</f>
        <v>92.571428571428569</v>
      </c>
      <c r="CV11" s="228">
        <f ca="1">AVERAGEIFS($AH:$AH,$BW:$BW,$BW11,$BX:$BX,$BX11)</f>
        <v>92.571428571428569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1889.4</v>
      </c>
      <c r="DH11" s="228">
        <f ca="1">AVERAGEIFS($AM:$AM,$BW:$BW,$BW11,$BX:$BX,$BX11)</f>
        <v>1889.4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8.4701959280197734</v>
      </c>
      <c r="ER11" s="228">
        <f ca="1">AVERAGEIFS($BH:$BH,$BW:$BW,$BW11,$BX:$BX,$BX11)</f>
        <v>8.4701959280197734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353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240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216</v>
      </c>
      <c r="AI12" s="224" t="str">
        <f>IF(ISNUMBER(Datos!CD12),Datos!CD12,"-")</f>
        <v>-</v>
      </c>
      <c r="AJ12" s="224" t="str">
        <f>IF(ISNUMBER(Datos!EN12),Datos!EN12," - ")</f>
        <v xml:space="preserve"> - </v>
      </c>
      <c r="AK12" s="333"/>
      <c r="AL12" s="478"/>
      <c r="AM12" s="224">
        <f>IF(ISNUMBER(Datos!R12),Datos!R12," - ")</f>
        <v>5980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331</v>
      </c>
      <c r="BD12" s="228">
        <f>IF(ISNUMBER(Datos!N12),Datos!N12," - ")</f>
        <v>340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1.0281329923273657</v>
      </c>
      <c r="BH12" s="224">
        <f>IF(ISNUMBER(((IF(J_V="SI",Datos!L12/Datos!K12,(Datos!L12+Datos!AB12)/(Datos!K12+Datos!AA12)))*11)/factor_trimestre),((IF(J_V="SI",Datos!L12/Datos!K12,(Datos!L12+Datos!AB12)/(Datos!K12+Datos!AA12)))*11)/factor_trimestre," - ")</f>
        <v>13.544776119402986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1.9260269302880519E-2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205.49571399412943</v>
      </c>
      <c r="CF12" s="228">
        <f ca="1">AVERAGEIFS($AB:$AB,$BW:$BW,BW12,$BX:$BX,BX12)</f>
        <v>205.49571399412943</v>
      </c>
      <c r="CG12" s="1191">
        <v>0.7</v>
      </c>
      <c r="CH12" s="1191">
        <f ca="1">AVERAGEIF($BW:$BW,BW12,$AC:$AC)</f>
        <v>83.1</v>
      </c>
      <c r="CI12" s="228">
        <f ca="1">AVERAGEIFS($AC:$AC,$BW:$BW,BW12,$BX:$BX,BX12)</f>
        <v>83.1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640.33333333333337</v>
      </c>
      <c r="CR12" s="228">
        <f ca="1">AVERAGEIFS($AF:$AF,$BW:$BW,BW12,$BX:$BX,BX12)</f>
        <v>640.33333333333337</v>
      </c>
      <c r="CS12" s="1191">
        <v>1.3</v>
      </c>
      <c r="CT12" s="1191">
        <v>1.5</v>
      </c>
      <c r="CU12" s="1191">
        <f ca="1">AVERAGEIF($BW:$BW,$BW12,$AH:$AH)</f>
        <v>92.571428571428569</v>
      </c>
      <c r="CV12" s="228">
        <f ca="1">AVERAGEIFS($AH:$AH,$BW:$BW,$BW12,$BX:$BX,$BX12)</f>
        <v>92.571428571428569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1889.4</v>
      </c>
      <c r="DH12" s="228">
        <f ca="1">AVERAGEIFS($AM:$AM,$BW:$BW,$BW12,$BX:$BX,$BX12)</f>
        <v>1889.4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8.4701959280197734</v>
      </c>
      <c r="ER12" s="228">
        <f ca="1">AVERAGEIFS($BH:$BH,$BW:$BW,$BW12,$BX:$BX,$BX12)</f>
        <v>8.4701959280197734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92</v>
      </c>
      <c r="O13" s="897">
        <f t="shared" si="1"/>
        <v>0</v>
      </c>
      <c r="P13" s="897">
        <f t="shared" si="1"/>
        <v>0</v>
      </c>
      <c r="Q13" s="896">
        <f t="shared" si="1"/>
        <v>353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240</v>
      </c>
      <c r="AD13" s="896">
        <f t="shared" si="2"/>
        <v>0</v>
      </c>
      <c r="AE13" s="896">
        <f t="shared" si="2"/>
        <v>0</v>
      </c>
      <c r="AF13" s="896">
        <f t="shared" si="2"/>
        <v>2</v>
      </c>
      <c r="AG13" s="896">
        <f t="shared" si="2"/>
        <v>0</v>
      </c>
      <c r="AH13" s="896">
        <f t="shared" si="2"/>
        <v>216</v>
      </c>
      <c r="AI13" s="896">
        <f t="shared" si="2"/>
        <v>0</v>
      </c>
      <c r="AJ13" s="896">
        <f t="shared" si="2"/>
        <v>0</v>
      </c>
      <c r="AK13" s="896">
        <f t="shared" si="2"/>
        <v>0</v>
      </c>
      <c r="AL13" s="896">
        <f t="shared" si="2"/>
        <v>0</v>
      </c>
      <c r="AM13" s="896">
        <f t="shared" si="2"/>
        <v>5980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331</v>
      </c>
      <c r="BD13" s="896">
        <f t="shared" si="2"/>
        <v>340</v>
      </c>
      <c r="BE13" s="896">
        <f t="shared" si="2"/>
        <v>0</v>
      </c>
      <c r="BF13" s="896">
        <f t="shared" si="2"/>
        <v>0</v>
      </c>
      <c r="BG13" s="896">
        <f>IF(ISNUMBER(Datos!K13/Datos!J13),Datos!K13/Datos!J13," - ")</f>
        <v>1.0388529139685476</v>
      </c>
      <c r="BH13" s="900">
        <f>IF(ISNUMBER(((Datos!L13/Datos!K13)*11)/factor_trimestre),((Datos!L13/Datos!K13)*11)/factor_trimestre," - ")</f>
        <v>13.974176313446128</v>
      </c>
      <c r="BI13" s="896">
        <f>IF(ISNUMBER('Resol  Asuntos'!D13/NºAsuntos!G13),'Resol  Asuntos'!D13/NºAsuntos!G13," - ")</f>
        <v>0.2744610281923715</v>
      </c>
      <c r="BJ13" s="896" t="str">
        <f>IF(ISNUMBER(Datos!CI13/Datos!CJ13),Datos!CI13/Datos!CJ13," - ")</f>
        <v xml:space="preserve"> - </v>
      </c>
      <c r="BK13" s="896">
        <f>SUBTOTAL(9,BK8:BK12)</f>
        <v>0</v>
      </c>
      <c r="BL13" s="896">
        <f>IF(ISNUMBER((I13-AB13+L13)/(F13)),(I13-AB13+L13)/(F13)," - ")</f>
        <v>0</v>
      </c>
      <c r="BM13" s="901">
        <f>SUBTOTAL(9,BM9:BM12)</f>
        <v>1.9260269302880519E-2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205.49571399412943</v>
      </c>
      <c r="CF15" s="228">
        <f ca="1">AVERAGEIFS($AB:$AB,$BW:$BW,BW15,$BX:$BX,BX15)</f>
        <v>205.49571399412943</v>
      </c>
      <c r="CG15" s="1191">
        <v>0.7</v>
      </c>
      <c r="CH15" s="1191">
        <f ca="1">AVERAGEIF($BW:$BW,BW15,$AC:$AC)</f>
        <v>83.1</v>
      </c>
      <c r="CI15" s="228">
        <f ca="1">AVERAGEIFS($AC:$AC,$BW:$BW,BW15,$BX:$BX,BX15)</f>
        <v>83.1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640.33333333333337</v>
      </c>
      <c r="CR15" s="228">
        <f ca="1">AVERAGEIFS($AF:$AF,$BW:$BW,BW15,$BX:$BX,BX15)</f>
        <v>640.33333333333337</v>
      </c>
      <c r="CS15" s="1191">
        <v>1.3</v>
      </c>
      <c r="CT15" s="1191">
        <v>1.5</v>
      </c>
      <c r="CU15" s="1191">
        <f ca="1">AVERAGEIF($BW:$BW,$BW15,$AH:$AH)</f>
        <v>92.571428571428569</v>
      </c>
      <c r="CV15" s="228">
        <f ca="1">AVERAGEIFS($AH:$AH,$BW:$BW,$BW15,$BX:$BX,$BX15)</f>
        <v>92.571428571428569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1889.4</v>
      </c>
      <c r="DH15" s="228">
        <f ca="1">AVERAGEIFS($AM:$AM,$BW:$BW,$BW15,$BX:$BX,$BX15)</f>
        <v>1889.4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8.4701959280197734</v>
      </c>
      <c r="ER15" s="228">
        <f ca="1">AVERAGEIFS($BH:$BH,$BW:$BW,$BW15,$BX:$BX,$BX15)</f>
        <v>8.4701959280197734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205.49571399412943</v>
      </c>
      <c r="CF16" s="228">
        <f ca="1">AVERAGEIFS($AB:$AB,$BW:$BW,BW16,$BX:$BX,BX16)</f>
        <v>205.49571399412943</v>
      </c>
      <c r="CG16" s="1191">
        <v>0.7</v>
      </c>
      <c r="CH16" s="1191">
        <f ca="1">AVERAGEIF($BW:$BW,BW16,$AC:$AC)</f>
        <v>83.1</v>
      </c>
      <c r="CI16" s="228">
        <f ca="1">AVERAGEIFS($AC:$AC,$BW:$BW,BW16,$BX:$BX,BX16)</f>
        <v>83.1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640.33333333333337</v>
      </c>
      <c r="CR16" s="228">
        <f ca="1">AVERAGEIFS($AF:$AF,$BW:$BW,BW16,$BX:$BX,BX16)</f>
        <v>640.33333333333337</v>
      </c>
      <c r="CS16" s="1191">
        <v>1.3</v>
      </c>
      <c r="CT16" s="1191">
        <v>1.5</v>
      </c>
      <c r="CU16" s="1191">
        <f ca="1">AVERAGEIF($BW:$BW,$BW16,$AH:$AH)</f>
        <v>92.571428571428569</v>
      </c>
      <c r="CV16" s="228">
        <f ca="1">AVERAGEIFS($AH:$AH,$BW:$BW,$BW16,$BX:$BX,$BX16)</f>
        <v>92.571428571428569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1889.4</v>
      </c>
      <c r="DH16" s="228">
        <f ca="1">AVERAGEIFS($AM:$AM,$BW:$BW,$BW16,$BX:$BX,$BX16)</f>
        <v>1889.4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8.4701959280197734</v>
      </c>
      <c r="ER16" s="228">
        <f ca="1">AVERAGEIFS($BH:$BH,$BW:$BW,$BW16,$BX:$BX,$BX16)</f>
        <v>8.4701959280197734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1855</v>
      </c>
      <c r="G17" s="596">
        <f>IF(ISNUMBER(IF(D_I="SI",Datos!I17,Datos!I17+Datos!AC17)),IF(D_I="SI",Datos!I17,Datos!I17+Datos!AC17)," - ")</f>
        <v>1855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574</v>
      </c>
      <c r="AC17" s="224">
        <f>IF(ISNUMBER(Datos!Q17),Datos!Q17," - ")</f>
        <v>37</v>
      </c>
      <c r="AD17" s="224"/>
      <c r="AE17" s="224"/>
      <c r="AF17" s="224">
        <f>IF(ISNUMBER(IF(D_I="SI",Datos!L17,Datos!L17+Datos!AF17)),IF(D_I="SI",Datos!L17,Datos!L17+Datos!AF17)," - ")</f>
        <v>1878</v>
      </c>
      <c r="AG17" s="333"/>
      <c r="AH17" s="224"/>
      <c r="AI17" s="224"/>
      <c r="AJ17" s="224"/>
      <c r="AK17" s="333"/>
      <c r="AL17" s="478"/>
      <c r="AM17" s="224">
        <f>IF(ISNUMBER(Datos!R17),Datos!R17," - ")</f>
        <v>318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166</v>
      </c>
      <c r="BD17" s="228">
        <f>IF(ISNUMBER(Datos!N17),Datos!N17," - ")</f>
        <v>268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0.96147403685092125</v>
      </c>
      <c r="BH17" s="224">
        <f>IF(ISNUMBER(((IF(D_I="SI",Datos!L17/Datos!K17,(Datos!L17+Datos!AF17)/(Datos!K17+Datos!AE17)))*11)/factor_trimestre),((IF(D_I="SI",Datos!L17/Datos!K17,(Datos!L17+Datos!AF17)/(Datos!K17+Datos!AE17)))*11)/factor_trimestre," - ")</f>
        <v>9.8153310104529634</v>
      </c>
      <c r="BI17" s="242">
        <f>IF(ISNUMBER('Resol  Asuntos'!D17/NºAsuntos!G17),'Resol  Asuntos'!D17/NºAsuntos!G17," - ")</f>
        <v>0.28919860627177701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205.49571399412943</v>
      </c>
      <c r="CF17" s="228">
        <f ca="1">AVERAGEIFS($AB:$AB,$BW:$BW,BW17,$BX:$BX,BX17)</f>
        <v>205.49571399412943</v>
      </c>
      <c r="CG17" s="1191">
        <v>0.7</v>
      </c>
      <c r="CH17" s="1191">
        <f ca="1">AVERAGEIF($BW:$BW,BW17,$AC:$AC)</f>
        <v>83.1</v>
      </c>
      <c r="CI17" s="228">
        <f ca="1">AVERAGEIFS($AC:$AC,$BW:$BW,BW17,$BX:$BX,BX17)</f>
        <v>83.1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640.33333333333337</v>
      </c>
      <c r="CR17" s="228">
        <f ca="1">AVERAGEIFS($AF:$AF,$BW:$BW,BW17,$BX:$BX,BX17)</f>
        <v>640.33333333333337</v>
      </c>
      <c r="CS17" s="1191">
        <v>1.3</v>
      </c>
      <c r="CT17" s="1191">
        <v>1.5</v>
      </c>
      <c r="CU17" s="1191">
        <f ca="1">AVERAGEIF($BW:$BW,$BW17,$AH:$AH)</f>
        <v>92.571428571428569</v>
      </c>
      <c r="CV17" s="228">
        <f ca="1">AVERAGEIFS($AH:$AH,$BW:$BW,$BW17,$BX:$BX,$BX17)</f>
        <v>92.571428571428569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1889.4</v>
      </c>
      <c r="DH17" s="228">
        <f ca="1">AVERAGEIFS($AM:$AM,$BW:$BW,$BW17,$BX:$BX,$BX17)</f>
        <v>1889.4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8.4701959280197734</v>
      </c>
      <c r="ER17" s="228">
        <f ca="1">AVERAGEIFS($BH:$BH,$BW:$BW,$BW17,$BX:$BX,$BX17)</f>
        <v>8.4701959280197734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41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20.5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205.49571399412943</v>
      </c>
      <c r="CF18" s="228">
        <f ca="1">AVERAGEIFS($AB:$AB,$BW:$BW,BW18,$BX:$BX,BX18)</f>
        <v>205.49571399412943</v>
      </c>
      <c r="CG18" s="1191">
        <v>0.7</v>
      </c>
      <c r="CH18" s="1191">
        <f ca="1">AVERAGEIF($BW:$BW,BW18,$AC:$AC)</f>
        <v>83.1</v>
      </c>
      <c r="CI18" s="228">
        <f ca="1">AVERAGEIFS($AC:$AC,$BW:$BW,BW18,$BX:$BX,BX18)</f>
        <v>83.1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640.33333333333337</v>
      </c>
      <c r="CR18" s="228">
        <f ca="1">AVERAGEIFS($AF:$AF,$BW:$BW,BW18,$BX:$BX,BX18)</f>
        <v>640.33333333333337</v>
      </c>
      <c r="CS18" s="1191">
        <v>1.3</v>
      </c>
      <c r="CT18" s="1191">
        <v>1.5</v>
      </c>
      <c r="CU18" s="1191">
        <f ca="1">AVERAGEIF($BW:$BW,$BW18,$AH:$AH)</f>
        <v>92.571428571428569</v>
      </c>
      <c r="CV18" s="228">
        <f ca="1">AVERAGEIFS($AH:$AH,$BW:$BW,$BW18,$BX:$BX,$BX18)</f>
        <v>92.571428571428569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1889.4</v>
      </c>
      <c r="DH18" s="228">
        <f ca="1">AVERAGEIFS($AM:$AM,$BW:$BW,$BW18,$BX:$BX,$BX18)</f>
        <v>1889.4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8.4701959280197734</v>
      </c>
      <c r="ER18" s="228">
        <f ca="1">AVERAGEIFS($BH:$BH,$BW:$BW,$BW18,$BX:$BX,$BX18)</f>
        <v>8.4701959280197734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1855</v>
      </c>
      <c r="G19" s="895">
        <f>SUBTOTAL(9,G15:G18)</f>
        <v>1902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580</v>
      </c>
      <c r="AC19" s="896">
        <f t="shared" si="5"/>
        <v>37</v>
      </c>
      <c r="AD19" s="896">
        <f t="shared" si="5"/>
        <v>0</v>
      </c>
      <c r="AE19" s="896">
        <f t="shared" si="5"/>
        <v>0</v>
      </c>
      <c r="AF19" s="896">
        <f t="shared" si="5"/>
        <v>1919</v>
      </c>
      <c r="AG19" s="896">
        <f t="shared" si="5"/>
        <v>0</v>
      </c>
      <c r="AH19" s="896">
        <f t="shared" si="5"/>
        <v>0</v>
      </c>
      <c r="AI19" s="896">
        <f t="shared" si="5"/>
        <v>0</v>
      </c>
      <c r="AJ19" s="896">
        <f t="shared" si="5"/>
        <v>0</v>
      </c>
      <c r="AK19" s="896">
        <f t="shared" si="5"/>
        <v>0</v>
      </c>
      <c r="AL19" s="896">
        <f t="shared" si="5"/>
        <v>0</v>
      </c>
      <c r="AM19" s="896">
        <f t="shared" si="5"/>
        <v>318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166</v>
      </c>
      <c r="BD19" s="896">
        <f t="shared" si="5"/>
        <v>272</v>
      </c>
      <c r="BE19" s="896">
        <f t="shared" si="5"/>
        <v>0</v>
      </c>
      <c r="BF19" s="896">
        <f t="shared" si="5"/>
        <v>0</v>
      </c>
      <c r="BG19" s="896">
        <f>IF(ISNUMBER(Datos!K19/Datos!J19),Datos!K19/Datos!J19," - ")</f>
        <v>0.9715242881072027</v>
      </c>
      <c r="BH19" s="900">
        <f>IF(ISNUMBER(((Datos!L19/Datos!K19)*11)/factor_trimestre),((Datos!L19/Datos!K19)*11)/factor_trimestre," - ")</f>
        <v>9.9258620689655164</v>
      </c>
      <c r="BI19" s="896">
        <f>SUBTOTAL(9,BI15:BI18)</f>
        <v>0.28919860627177701</v>
      </c>
      <c r="BJ19" s="896">
        <f>SUBTOTAL(9,BJ15:BJ18)</f>
        <v>0</v>
      </c>
      <c r="BK19" s="896">
        <f>SUBTOTAL(9,BK15:BK18)</f>
        <v>0</v>
      </c>
      <c r="BL19" s="896">
        <f>IF(ISNUMBER((I19-AB19+L19)/(F19)),(I19-AB19+L19)/(F19)," - ")</f>
        <v>-0.31266846361185985</v>
      </c>
      <c r="BM19" s="902">
        <f>IF(ISNUMBER((Datos!P19-Datos!Q19)/(Datos!R19-Datos!P19+Datos!Q19)),(Datos!P19-Datos!Q19)/(Datos!R19-Datos!P19+Datos!Q19)," - ")</f>
        <v>-2.4539877300613498E-2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1857</v>
      </c>
      <c r="G20" s="817">
        <f t="shared" si="7"/>
        <v>1904</v>
      </c>
      <c r="H20" s="819">
        <f t="shared" si="7"/>
        <v>0</v>
      </c>
      <c r="I20" s="817">
        <f t="shared" si="7"/>
        <v>0</v>
      </c>
      <c r="J20" s="819">
        <f t="shared" si="7"/>
        <v>0</v>
      </c>
      <c r="K20" s="819">
        <f t="shared" si="7"/>
        <v>0</v>
      </c>
      <c r="L20" s="878">
        <f t="shared" si="7"/>
        <v>0</v>
      </c>
      <c r="M20" s="878">
        <f t="shared" si="7"/>
        <v>0</v>
      </c>
      <c r="N20" s="878">
        <f t="shared" si="7"/>
        <v>92</v>
      </c>
      <c r="O20" s="878">
        <f t="shared" si="7"/>
        <v>0</v>
      </c>
      <c r="P20" s="878">
        <f t="shared" si="7"/>
        <v>0</v>
      </c>
      <c r="Q20" s="819">
        <f t="shared" si="7"/>
        <v>382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580</v>
      </c>
      <c r="AC20" s="818">
        <f t="shared" si="8"/>
        <v>277</v>
      </c>
      <c r="AD20" s="818">
        <f t="shared" si="8"/>
        <v>0</v>
      </c>
      <c r="AE20" s="818">
        <f t="shared" si="8"/>
        <v>0</v>
      </c>
      <c r="AF20" s="825">
        <f t="shared" si="8"/>
        <v>1921</v>
      </c>
      <c r="AG20" s="825">
        <f t="shared" si="8"/>
        <v>0</v>
      </c>
      <c r="AH20" s="825">
        <f t="shared" si="8"/>
        <v>216</v>
      </c>
      <c r="AI20" s="825">
        <f t="shared" si="8"/>
        <v>0</v>
      </c>
      <c r="AJ20" s="818">
        <f t="shared" si="8"/>
        <v>0</v>
      </c>
      <c r="AK20" s="825">
        <f t="shared" si="8"/>
        <v>0</v>
      </c>
      <c r="AL20" s="825">
        <f t="shared" si="8"/>
        <v>0</v>
      </c>
      <c r="AM20" s="825">
        <f t="shared" si="8"/>
        <v>6298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497</v>
      </c>
      <c r="BD20" s="817">
        <f t="shared" si="8"/>
        <v>612</v>
      </c>
      <c r="BE20" s="817">
        <f t="shared" si="8"/>
        <v>0</v>
      </c>
      <c r="BF20" s="827">
        <f t="shared" si="8"/>
        <v>0</v>
      </c>
      <c r="BG20" s="912">
        <f>IF(ISNUMBER(Datos!K20/Datos!J20),Datos!K20/Datos!J20," - ")</f>
        <v>1.0148986889153755</v>
      </c>
      <c r="BH20" s="912">
        <f>IF(ISNUMBER(((Datos!L20/Datos!K20)*11)/factor_trimestre),((Datos!L20/Datos!K20)*11)/factor_trimestre," - ")</f>
        <v>12.595419847328245</v>
      </c>
      <c r="BI20" s="810">
        <f>IF(ISNUMBER(Datos!J20/Datos!I20),Datos!J20/Datos!I20," - ")</f>
        <v>0.23386759581881533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-0.31233171782444802</v>
      </c>
      <c r="BM20" s="886">
        <f>IF(ISNUMBER((Datos!P20-Datos!Q20+R20)/(Datos!R20-Datos!P20+Datos!Q20-R20)),(Datos!P20-Datos!Q20+R20)/(Datos!R20-Datos!P20+Datos!Q20-R20)," - ")</f>
        <v>1.6954626190860651E-2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761.6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1069.8300488083764</v>
      </c>
      <c r="G22" s="551">
        <f>IF(ISNUMBER(STDEV(G8:G19)),STDEV(G8:G19),"-")</f>
        <v>1019.8864152443643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314.95713994129426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148.02792529339411</v>
      </c>
      <c r="BD22" s="550"/>
      <c r="BE22" s="550">
        <f>IF(ISNUMBER(STDEV(BE8:BE19)),STDEV(BE8:BE19),"-")</f>
        <v>0</v>
      </c>
      <c r="BF22" s="555">
        <f>IF(ISNUMBER(STDEV(BF8:BF19)),STDEV(BF8:BF19),"-")</f>
        <v>0</v>
      </c>
      <c r="BG22" s="772">
        <f>IF(ISNUMBER(STDEV(BG8:BG19)),STDEV(BG8:BG19),"-")</f>
        <v>3.9141325660318881E-2</v>
      </c>
      <c r="BH22" s="773">
        <f>IF(ISNUMBER(STDEV(BH8:BH19)),STDEV(BH8:BH19),"-")</f>
        <v>4.3463939206018951</v>
      </c>
      <c r="BI22" s="248">
        <f>IF(ISNUMBER(STDEV(BI8:BI19)),STDEV(BI8:BI19),"-")</f>
        <v>0.14231271791105654</v>
      </c>
      <c r="BJ22" s="986" t="str">
        <f>IF(ISNUMBER(BL22/BM22),BL22/BM22," - ")</f>
        <v xml:space="preserve"> - </v>
      </c>
      <c r="BK22" s="574"/>
      <c r="BL22" s="558">
        <f>IF(ISNUMBER(STDEV(BL8:BL19)),STDEV(BL8:BL19),"-")</f>
        <v>0.22108999088312539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RJJDLX/XYAr0J8eIaWCOlzA2ORJ0fd9PoAE89N3yQyqHZlVFictiXAtXlg3AfU5z1ZsCxxKe/LqPrHfsHw+wQ==" saltValue="z3KmDzKtUaXPu21vQG+uj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SAN FERNANDO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0.2744610281923715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0.19407325420625809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hG9HDV5ZPlKKQi+EFXYfslawQYQztT6gvrntaRV805okkvYkiNUKnULXPzHFbX61yGIYJ0bM/O9u0dfqO5icg==" saltValue="y6UUpy53vqje6VbZPjIN9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SAN FERNANDO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cep6JssrvXzRNMOqyv+WJHIMrQxFobX26PX5lqq7A8dJFIUdwtnHJIfX+uwqTrPZGZGO5eyXULXKMb6PdF3mA==" saltValue="xNQXsYO+DPpZS1k9dPE+u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